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Default Extension="png" ContentType="image/png"/>
  <Override PartName="/xl/styles.xml" ContentType="application/vnd.openxmlformats-officedocument.spreadsheetml.styles+xml"/>
  <Override PartName="/xl/drawings/drawing1.xml" ContentType="application/vnd.openxmlformats-officedocument.drawing+xml"/>
  <Override PartName="/xl/worksheets/sheet1.xml" ContentType="application/vnd.openxmlformats-officedocument.spreadsheetml.worksheet+xml"/>
  <Override PartName="/xl/comments2.xml" ContentType="application/vnd.openxmlformats-officedocument.spreadsheetml.comments+xml"/>
  <Default Extension="vml" ContentType="application/vnd.openxmlformats-officedocument.vmlDrawing"/>
  <Default Extension="bin" ContentType="application/vnd.openxmlformats-officedocument.spreadsheetml.printerSettings"/>
  <Override PartName="/xl/worksheets/sheet2.xml" ContentType="application/vnd.openxmlformats-officedocument.spreadsheetml.worksheet+xml"/>
  <Override PartName="/xl/comments3.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drawings/drawing2.xml" ContentType="application/vnd.openxmlformats-officedocument.drawing+xml"/>
  <Override PartName="/xl/worksheets/sheet5.xml" ContentType="application/vnd.openxmlformats-officedocument.spreadsheetml.worksheet+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C:\Users\RobertFung\Downloads\"/>
    </mc:Choice>
  </mc:AlternateContent>
  <bookViews>
    <workbookView xWindow="-120" yWindow="-120" windowWidth="29040" windowHeight="15840" activeTab="0"/>
  </bookViews>
  <sheets>
    <sheet name="Front Page" sheetId="7" r:id="rId3"/>
    <sheet name="Model" sheetId="1" r:id="rId4"/>
    <sheet name="Guidance" sheetId="10" r:id="rId5"/>
    <sheet name="Summary Page" sheetId="9" r:id="rId6"/>
    <sheet name="Update Log" sheetId="8" r:id="rId7"/>
  </sheets>
  <definedNames>
    <definedName name="_xlnm._FilterDatabase" localSheetId="2" hidden="1">Guidance!$A$5:$U$5</definedName>
    <definedName name="AA.AlternatePriceSourceStartPeriod">"Q1-2018"</definedName>
    <definedName name="AA.CIK">"1042046"</definedName>
    <definedName name="AA.CompareQuarters.LatestMRQ">"Q1-2019"</definedName>
    <definedName name="AA.CSIN">"1EM0XH0128"</definedName>
    <definedName name="AA.CurationVersion">"2023.11.1.0"</definedName>
    <definedName name="AA.DBMacroVersion">"1.0.13.0"</definedName>
    <definedName name="AA.HardcodeChecker.LatestMRQ">"Q3-2019"</definedName>
    <definedName name="AA.ModelChecks.LatestMRQ">"Q3-2021"</definedName>
    <definedName name="AA.ModelChecks.LatestVersionNumber">"2.38.0.0"</definedName>
    <definedName name="AA.ModelVersion">"Q3-2024.21"</definedName>
    <definedName name="AA.NonLibraryWideCurationVersion">"4"</definedName>
    <definedName name="AA.PartialUpdate.BsAvailable">"TRUE"</definedName>
    <definedName name="AA.PartialUpdate.CfsAvailable">"FALSE"</definedName>
    <definedName name="AA.PartialUpdate.IsAvailable">"TRUE"</definedName>
    <definedName name="AA.PeriodLayout">"QFY"</definedName>
    <definedName name="AA.PersonalMacro.VersionNumber">"1.5.1.5"</definedName>
    <definedName name="AA.RowNameEnforcerVersion">"2023.11.1.0"</definedName>
    <definedName name="AA.SessionToUploadId">""</definedName>
    <definedName name="AA.StartWorkModelVersion">"Q2-2024.23"</definedName>
    <definedName name="AA.StartWorkType">""</definedName>
    <definedName name="AA.SubyearType">"Q"</definedName>
    <definedName name="AA.TemplateUpgradeAttempted">"TRUE"</definedName>
    <definedName name="AA.TemplateVersion">"7.5.1.0"</definedName>
    <definedName name="AA.UpdateType">"Regular"</definedName>
    <definedName name="FP.DataSource">'Front Page'!$H$16</definedName>
    <definedName name="FP.DataSourceName">'Front Page'!$H$15</definedName>
    <definedName name="FP.Disclaimer">'Front Page'!$C$22</definedName>
    <definedName name="FP.LastPrice">'Front Page'!$H$20</definedName>
    <definedName name="FP.LastPriceDate">'Front Page'!$F$20</definedName>
    <definedName name="FP.RealTimeToggle">'Front Page'!$H$18</definedName>
    <definedName name="FP.UpdateDate">'Front Page'!$H$11</definedName>
    <definedName name="FP.UpdateEvent">'Front Page'!$H$13</definedName>
    <definedName name="FP_Comment">'Front Page'!$M$13:$P$20</definedName>
    <definedName name="FP_StockPriceOverride">'Front Page'!$C$20:$H$20</definedName>
    <definedName name="GD.CompanyName">Guidance!$B$1</definedName>
    <definedName name="GD.MRQ">Guidance!$F$2</definedName>
    <definedName name="GD_Difference_Mid_Absolute">Guidance!$P:$P</definedName>
    <definedName name="GD_Difference_Mid_Relative">Guidance!$Q:$Q</definedName>
    <definedName name="GD_Guidance_High">Guidance!$J:$J</definedName>
    <definedName name="GD_Guidance_Low">Guidance!$I:$I</definedName>
    <definedName name="GD_Guidance_Mid">Guidance!$K:$K</definedName>
    <definedName name="GD_Header_Column">Guidance!$5:$5</definedName>
    <definedName name="GD_Header_Section">Guidance!$4:$4</definedName>
    <definedName name="GD_Index">Guidance!$A:$A</definedName>
    <definedName name="GD_Item">Guidance!$D:$D</definedName>
    <definedName name="GD_Item_BasePeriod">Guidance!$G:$G</definedName>
    <definedName name="GD_Item_FiscalPeriod">Guidance!$F:$F</definedName>
    <definedName name="GD_Item_Name">Guidance!$E:$E</definedName>
    <definedName name="GD_Model_Output">Guidance!$N:$N</definedName>
    <definedName name="GD_Model_Type">Guidance!$M:$M</definedName>
    <definedName name="GD_Type">Guidance!$B:$B</definedName>
    <definedName name="GD_Update_Date">Guidance!$S:$S</definedName>
    <definedName name="GD_Update_Link">Guidance!$T:$T</definedName>
    <definedName name="HP.MRFX">Model!$B$708</definedName>
    <definedName name="HP.ReportCurrency">Model!$B$707</definedName>
    <definedName name="HP.Ticker">Model!$A$2</definedName>
    <definedName name="HP.TradeCurrency">Model!$B$705</definedName>
    <definedName name="HP.TradeCurrency.HardCoded">Model!$B$706</definedName>
    <definedName name="MO.ApplyTradeCurrencyScaling">Model!$B$704</definedName>
    <definedName name="MO.CFY">Model!$B$712</definedName>
    <definedName name="MO.CompanyName">Model!$A$1</definedName>
    <definedName name="MO.DataSourceIndex">Model!$B$715</definedName>
    <definedName name="MO.DataSourceName">Model!$A$4</definedName>
    <definedName name="MO.FirstForecastedFiscalYear">Model!$B$713</definedName>
    <definedName name="MO.KPI.1">Model!$A$634</definedName>
    <definedName name="MO.KPI.2">Model!$A$635</definedName>
    <definedName name="MO.KPI.3">Model!$A$636</definedName>
    <definedName name="MO.KPI.Count">Model!$B$714</definedName>
    <definedName name="MO.LastPrice">Model!$B$3</definedName>
    <definedName name="MO.LastPriceDate">Model!$B$701</definedName>
    <definedName name="MO.LastPriceFormula">Model!$B$703</definedName>
    <definedName name="MO.LastPriceHardcoded">Model!$B$700</definedName>
    <definedName name="MO.MRFP">Model!$B$711</definedName>
    <definedName name="MO.MRFPColumnNumber">Model!$B$710</definedName>
    <definedName name="MO.MRFX.Hardcoded">Model!$B$709</definedName>
    <definedName name="MO.RealTime">Model!$B$4</definedName>
    <definedName name="MO.RealTimeStockPriceToggle">Model!$B$702</definedName>
    <definedName name="MO.ReportCurrency">Model!$B$707</definedName>
    <definedName name="MO.ReportFX">Model!$A$5</definedName>
    <definedName name="MO.Ticker">Model!$A$2</definedName>
    <definedName name="MO.Ticker.Bloomberg">Model!$A$613</definedName>
    <definedName name="MO.Ticker.Canalyst">Model!$A$612</definedName>
    <definedName name="MO.Ticker.CapIQ">Model!$A$614</definedName>
    <definedName name="MO.Ticker.FactSet">Model!$A$615</definedName>
    <definedName name="MO.Ticker.Thomson">Model!$A$616</definedName>
    <definedName name="MO.TradingCurrency">Model!$A$3</definedName>
    <definedName name="MO.ValuationToggle">Model!$B$377</definedName>
    <definedName name="MO_AN_NI_NONGAAP_Diluted">Model!$258:$258</definedName>
    <definedName name="MO_BS_AP">Model!$560:$560</definedName>
    <definedName name="MO_BS_Cash">Model!$531:$531</definedName>
    <definedName name="MO_BS_CommonStock">Model!$572:$572</definedName>
    <definedName name="MO_BS_ContractCosts">Model!$546:$546</definedName>
    <definedName name="MO_BS_ContributedSurplus">Model!$573:$573</definedName>
    <definedName name="MO_BS_DefRev">Model!$557:$557</definedName>
    <definedName name="MO_BS_Goodwill">Model!$551:$551</definedName>
    <definedName name="MO_BS_NCI">Model!$578:$578</definedName>
    <definedName name="MO_BS_OCI">Model!$576:$576</definedName>
    <definedName name="MO_BS_PreferredStock">Model!$571:$571</definedName>
    <definedName name="MO_BS_RetainedEarnings">Model!$575:$575</definedName>
    <definedName name="MO_BS_SE">Model!$577:$577</definedName>
    <definedName name="MO_BS_TA">Model!$553:$553</definedName>
    <definedName name="MO_BS_TaxLiabilities_Deferred">Model!$564:$564</definedName>
    <definedName name="MO_BS_TL">Model!$568:$568</definedName>
    <definedName name="MO_BS_TLSE">Model!$579:$579</definedName>
    <definedName name="MO_BSS_BVPS">Model!$343:$343</definedName>
    <definedName name="MO_BSS_NLR">Model!$329:$329</definedName>
    <definedName name="MO_BSS_NTR">Model!$330:$330</definedName>
    <definedName name="MO_BSS_NUPR">Model!$328:$328</definedName>
    <definedName name="MO_BSS_ReserveRatio">Model!$332:$332</definedName>
    <definedName name="MO_BSS_ROA">Model!$347:$347</definedName>
    <definedName name="MO_BSS_ROE">Model!$348:$348</definedName>
    <definedName name="MO_BSS_ROTE">Model!$350:$350</definedName>
    <definedName name="MO_BSS_SolvencyRatio">Model!$333:$333</definedName>
    <definedName name="MO_BSS_TangibleCommonEquity">Model!$341:$341</definedName>
    <definedName name="MO_BSS_TBVPS">Model!$345:$345</definedName>
    <definedName name="MO_BSS_TotalCommonEquity">Model!$337:$337</definedName>
    <definedName name="MO_BSS_TotalEquity">Model!$335:$335</definedName>
    <definedName name="MO_CCFS_Balance_Begin">Model!$453:$453</definedName>
    <definedName name="MO_CCFS_Balance_End">Model!$454:$454</definedName>
    <definedName name="MO_CCFS_CFF">Model!$448:$448</definedName>
    <definedName name="MO_CCFS_CFI">Model!$429:$429</definedName>
    <definedName name="MO_CCFS_CFO">Model!$408:$408</definedName>
    <definedName name="MO_CCFS_CFO_BeforeWC">Model!$400:$400</definedName>
    <definedName name="MO_CCFS_FX">Model!$450:$450</definedName>
    <definedName name="MO_CCFS_NetChange">Model!$451:$451</definedName>
    <definedName name="MO_CCFS_Sup_CashInterest">Model!$456:$456</definedName>
    <definedName name="MO_CCFS_Sup_CashTax">Model!$457:$457</definedName>
    <definedName name="MO_CFS_Balance_Begin">Model!$521:$521</definedName>
    <definedName name="MO_CFS_Balance_End">Model!$522:$522</definedName>
    <definedName name="MO_CFS_Buyback">Model!$512:$512</definedName>
    <definedName name="MO_CFS_Capex">Model!$483:$483</definedName>
    <definedName name="MO_CFS_CFF">Model!$516:$516</definedName>
    <definedName name="MO_CFS_CFI">Model!$497:$497</definedName>
    <definedName name="MO_CFS_CFO">Model!$476:$476</definedName>
    <definedName name="MO_CFS_CFO_BeforeWC">Model!$468:$468</definedName>
    <definedName name="MO_CFS_DA">Model!$463:$463</definedName>
    <definedName name="MO_CFS_DeferredTax">Model!$462:$462</definedName>
    <definedName name="MO_CFS_Dividend_Common">Model!$513:$513</definedName>
    <definedName name="MO_CFS_FX">Model!$518:$518</definedName>
    <definedName name="MO_CFS_NetChange">Model!$519:$519</definedName>
    <definedName name="MO_CFS_NewEquityIssued">Model!$511:$511</definedName>
    <definedName name="MO_CFS_NI">Model!$461:$461</definedName>
    <definedName name="MO_CFS_Sup_CashInterest">Model!$524:$524</definedName>
    <definedName name="MO_CFS_Sup_CashTax">Model!$525:$525</definedName>
    <definedName name="MO_CFS_WC_AP">Model!$472:$472</definedName>
    <definedName name="MO_CFS_WC_AR">Model!$469:$469</definedName>
    <definedName name="MO_CFSUM_NetShares">Model!$362:$362</definedName>
    <definedName name="MO_CFSUM_NetShares_Price">Model!$363:$363</definedName>
    <definedName name="MO_Checks_Bottom">Model!$C$584:$XFD$607</definedName>
    <definedName name="MO_Checks_BS">Model!$581:$581</definedName>
    <definedName name="MO_Checks_CF">Model!$527:$527</definedName>
    <definedName name="MO_Checks_IS">Model!$246:$246</definedName>
    <definedName name="MO_Common_Column_A">Model!$A:$A</definedName>
    <definedName name="MO_Common_Column_B">Model!$B:$B</definedName>
    <definedName name="MO_Common_ColumnHeader">Model!$5:$5</definedName>
    <definedName name="MO_Common_CompanySubtitle">Model!$2:$2</definedName>
    <definedName name="MO_Common_CompanyTitle">Model!$1:$1</definedName>
    <definedName name="MO_Common_FPDays">Model!$3:$3</definedName>
    <definedName name="MO_Common_QEndDate">Model!$4:$4</definedName>
    <definedName name="MO_Common_QEndDate_LWD">Model!$694:$694</definedName>
    <definedName name="MO_CR_Debt">Model!$355:$355</definedName>
    <definedName name="MO_CR_Debt_LT">Model!$354:$354</definedName>
    <definedName name="MO_CR_Debt_ST">Model!$353:$353</definedName>
    <definedName name="MO_CR_Debt_ToCapitalRatio">Model!$359:$359</definedName>
    <definedName name="MO_CR_IE">Model!$365:$365</definedName>
    <definedName name="MO_CR_InterestRate_Debt">Model!$366:$366</definedName>
    <definedName name="MO_CR_NetDebtIssuance">Model!$361:$361</definedName>
    <definedName name="MO_CR_TotalCapitalization">Model!$357:$357</definedName>
    <definedName name="MO_CR_TotalCommonEquity">Model!$356:$356</definedName>
    <definedName name="MO_DS_Dividend">Model!$322:$322</definedName>
    <definedName name="MO_DS_DPS">Model!$323:$323</definedName>
    <definedName name="MO_DS_PayoutRatio">Model!$325:$325</definedName>
    <definedName name="MO_GA_GWRGrowth">Model!$10:$10</definedName>
    <definedName name="MO_GA_InvestmentsGrowth">Model!$186:$186</definedName>
    <definedName name="MO_GA_NEPGrowth">Model!$11:$11</definedName>
    <definedName name="MO_GA_UIGrowth">Model!$12:$12</definedName>
    <definedName name="MO_II_InvestmentBalance">Model!$175:$175</definedName>
    <definedName name="MO_II_NetIG">Model!$201:$201</definedName>
    <definedName name="MO_II_NetII">Model!$199:$199</definedName>
    <definedName name="MO_II_NetIIYield">Model!$192:$192</definedName>
    <definedName name="MO_IS_DisCont">Model!$241:$241</definedName>
    <definedName name="MO_IS_EBT">Model!$238:$238</definedName>
    <definedName name="MO_IS_FirstRow">Model!$220:$220</definedName>
    <definedName name="MO_IS_IE">Model!$234:$234</definedName>
    <definedName name="MO_IS_NCI">Model!$243:$243</definedName>
    <definedName name="MO_IS_NI_ContinOp">Model!$242:$242</definedName>
    <definedName name="MO_IS_OtherOPEX">Model!$236:$236</definedName>
    <definedName name="MO_IS_REV">Model!$228:$228</definedName>
    <definedName name="MO_IS_Tax">Model!$239:$239</definedName>
    <definedName name="MO_LR_ChangeInNLR">Model!$151:$151</definedName>
    <definedName name="MO_LR_GLR">Model!$145:$145</definedName>
    <definedName name="MO_LR_LossIncurred">Model!$149:$149</definedName>
    <definedName name="MO_LR_LossPaid">Model!$150:$150</definedName>
    <definedName name="MO_LR_LossPayoutRatio">Model!$153:$153</definedName>
    <definedName name="MO_LR_NLR">Model!$147:$147</definedName>
    <definedName name="MO_LR_RR">Model!$146:$146</definedName>
    <definedName name="MO_OI_OtherIncome">Model!$209:$209</definedName>
    <definedName name="MO_RIS_Adjustments_Dilution_GAAP">Model!$286:$286</definedName>
    <definedName name="MO_RIS_Adjustments_Dilution_NONGAAP">Model!$289:$289</definedName>
    <definedName name="MO_RIS_Adjustments_NONGAAP">Model!$288:$288</definedName>
    <definedName name="MO_RIS_DisCont">Model!$282:$282</definedName>
    <definedName name="MO_RIS_Dividend_Prefs">Model!$284:$284</definedName>
    <definedName name="MO_RIS_EBT">Model!$275:$275</definedName>
    <definedName name="MO_RIS_EI">Model!$281:$281</definedName>
    <definedName name="MO_RIS_EPS_WAB">Model!$295:$295</definedName>
    <definedName name="MO_RIS_EPS_WAD">Model!$296:$296</definedName>
    <definedName name="MO_RIS_EPS_WAD_Adj">Model!$297:$297</definedName>
    <definedName name="MO_RIS_IE">Model!$272:$272</definedName>
    <definedName name="MO_RIS_Loss">Model!$270:$270</definedName>
    <definedName name="MO_RIS_NCI">Model!$283:$283</definedName>
    <definedName name="MO_RIS_NEP">Model!$263:$263</definedName>
    <definedName name="MO_RIS_NetIG">Model!$265:$265</definedName>
    <definedName name="MO_RIS_NetII">Model!$264:$264</definedName>
    <definedName name="MO_RIS_NI_ContinOp">Model!$280:$280</definedName>
    <definedName name="MO_RIS_NI_GAAP_Basic">Model!$285:$285</definedName>
    <definedName name="MO_RIS_NI_GAAP_Diluted">Model!$287:$287</definedName>
    <definedName name="MO_RIS_NI_NONGAAP_Diluted">Model!$290:$290</definedName>
    <definedName name="MO_RIS_OI">Model!$273:$273</definedName>
    <definedName name="MO_RIS_OOE">Model!$271:$271</definedName>
    <definedName name="MO_RIS_OtherIncome">Model!$266:$266</definedName>
    <definedName name="MO_RIS_OTI">Model!$274:$274</definedName>
    <definedName name="MO_RIS_REV">Model!$267:$267</definedName>
    <definedName name="MO_RIS_ShareCount_EoPB">Model!$305:$305</definedName>
    <definedName name="MO_RIS_ShareCount_WAB">Model!$300:$300</definedName>
    <definedName name="MO_RIS_ShareCount_WAD">Model!$301:$301</definedName>
    <definedName name="MO_RIS_ShareCount_WAD_Adj">Model!$302:$302</definedName>
    <definedName name="MO_RIS_Tax_Current">Model!$278:$278</definedName>
    <definedName name="MO_RIS_Tax_Deferred">Model!$279:$279</definedName>
    <definedName name="MO_RIS_TaxRate_Current">Model!$292:$292</definedName>
    <definedName name="MO_RIS_TaxRate_Deferred">Model!$293:$293</definedName>
    <definedName name="MO_SCA_Date_CoverPage">Model!$314:$314</definedName>
    <definedName name="MO_SCA_Ratio_DilutedOverBasic">Model!$317:$317</definedName>
    <definedName name="MO_SCA_ShareCount_CoverPage">Model!$313:$313</definedName>
    <definedName name="MO_SCA_ShareCount_CoverPage_Class1">Model!$313:$313</definedName>
    <definedName name="MO_SCA_ShareCount_CoverPage_Ticker1">Model!$313:$313</definedName>
    <definedName name="MO_SCA_ShareCount_DilutiveShares">Model!$316:$316</definedName>
    <definedName name="MO_SCA_ShareCount_EoP">Model!$305:$305</definedName>
    <definedName name="MO_SCA_ShareCount_EoP_Class1">Model!$305:$305</definedName>
    <definedName name="MO_SCA_ShareCount_EoP_Diluted">Model!$319:$319</definedName>
    <definedName name="MO_SCA_ShareCount_EoP_Growth_Dilutive_QoQ">Model!$306:$306</definedName>
    <definedName name="MO_SCA_ShareCount_EoP_Growth_Dilutive_YoY">Model!$307:$307</definedName>
    <definedName name="MO_SCA_ShareCount_EoP_Growth_NetIssuance_QoQ">Model!$308:$308</definedName>
    <definedName name="MO_SCA_ShareCount_EoP_Growth_NetIssuance_YoY">Model!$309:$309</definedName>
    <definedName name="MO_SCA_ShareCount_EoP_Growth_QoQ">Model!$310:$310</definedName>
    <definedName name="MO_SCA_ShareCount_EoP_Growth_YoY">Model!$311:$311</definedName>
    <definedName name="MO_SCA_ShareCount_EoP_Ticker1">Model!$305:$305</definedName>
    <definedName name="MO_Section_AdjustedNumbers">Model!$248:$248</definedName>
    <definedName name="MO_Section_BalanceSheet">Model!$529:$529</definedName>
    <definedName name="MO_Section_BalanceSheetSummary">Model!$327:$327</definedName>
    <definedName name="MO_Section_CapitalResources">Model!$352:$352</definedName>
    <definedName name="MO_Section_CashFlowStatement">Model!$459:$459</definedName>
    <definedName name="MO_Section_CumulativeCashFlowStatement">Model!$391:$391</definedName>
    <definedName name="MO_Section_DividendSummary">Model!$321:$321</definedName>
    <definedName name="MO_Section_GrowthAnalysis">Model!$6:$6</definedName>
    <definedName name="MO_Section_II">Model!$155:$155</definedName>
    <definedName name="MO_Section_IncomeStatement">Model!$219:$219</definedName>
    <definedName name="MO_Section_LastRow">Model!$717:$717</definedName>
    <definedName name="MO_Section_LR">Model!$144:$144</definedName>
    <definedName name="MO_Section_ModelChecks">Model!$583:$583</definedName>
    <definedName name="MO_Section_OI">Model!$203:$203</definedName>
    <definedName name="MO_Section_RevisedIncomeStatement">Model!$262:$262</definedName>
    <definedName name="MO_Section_ShareCountAnalysis">Model!$304:$304</definedName>
    <definedName name="MO_Section_SIC">Model!$368:$368</definedName>
    <definedName name="MO_Section_Tables">Model!$609:$609</definedName>
    <definedName name="MO_Section_UI">Model!$14:$14</definedName>
    <definedName name="MO_Section_UPR">Model!$135:$135</definedName>
    <definedName name="MO_Section_UR">Model!$93:$93</definedName>
    <definedName name="MO_Section_Valuation">Model!$376:$376</definedName>
    <definedName name="MO_SNA_ConsensusEstimatePeriodNumber">Model!$652:$652</definedName>
    <definedName name="MO_SNA_ConsensusEstimatePeriodType">Model!$651:$651</definedName>
    <definedName name="MO_SNA_FPStartDate">Model!$664:$664</definedName>
    <definedName name="MO_SNA_Guidance_ApplicablePeriod_FY">Model!$647:$647</definedName>
    <definedName name="MO_SNA_Guidance_ApplicablePeriod_Q">Model!$641:$641</definedName>
    <definedName name="MO_SNA_Guidance_IsLatest_FY">Model!$646:$646</definedName>
    <definedName name="MO_SNA_Guidance_ReportDate_FY">Model!$645:$645</definedName>
    <definedName name="MO_SNA_Guidance_ReportDate_Q">Model!$640:$640</definedName>
    <definedName name="MO_SNA_IsHistoricalPeriod">Model!$665:$665</definedName>
    <definedName name="MO_SNA_LastDataRow">Model!$579:$579</definedName>
    <definedName name="MO_SPT_FXAverage">Model!$687:$687</definedName>
    <definedName name="MO_SPT_FXAverage_Sources">Model!$688:$692</definedName>
    <definedName name="MO_SPT_FXAverage_Sources_Bloomberg">Model!$689:$689</definedName>
    <definedName name="MO_SPT_FXAverage_Sources_CapIQ">Model!$690:$690</definedName>
    <definedName name="MO_SPT_FXAverage_Sources_FactSet">Model!$691:$691</definedName>
    <definedName name="MO_SPT_FXAverage_Sources_RealTimeOff">Model!$688:$688</definedName>
    <definedName name="MO_SPT_FXAverage_Sources_Thomson">Model!$692:$692</definedName>
    <definedName name="MO_SPT_FXEoP">Model!$696:$696</definedName>
    <definedName name="MO_SPT_StockAverage">Model!$680:$680</definedName>
    <definedName name="MO_SPT_StockAverage_Sources">Model!$681:$685</definedName>
    <definedName name="MO_SPT_StockAverage_Sources_Bloomberg">Model!$682:$682</definedName>
    <definedName name="MO_SPT_StockAverage_Sources_CapIQ">Model!$683:$683</definedName>
    <definedName name="MO_SPT_StockAverage_Sources_FactSet">Model!$684:$684</definedName>
    <definedName name="MO_SPT_StockAverage_Sources_RealTimeOff">Model!$681:$681</definedName>
    <definedName name="MO_SPT_StockAverage_Sources_Thomson">Model!$685:$685</definedName>
    <definedName name="MO_SPT_StockEoP">Model!$695:$695</definedName>
    <definedName name="MO_SPT_StockHigh">Model!$666:$666</definedName>
    <definedName name="MO_SPT_StockHigh_Sources">Model!$667:$671</definedName>
    <definedName name="MO_SPT_StockHigh_Sources_Bloomberg">Model!$668:$668</definedName>
    <definedName name="MO_SPT_StockHigh_Sources_CapIQ">Model!$669:$669</definedName>
    <definedName name="MO_SPT_StockHigh_Sources_FactSet">Model!$670:$670</definedName>
    <definedName name="MO_SPT_StockHigh_Sources_RealTimeOff">Model!$667:$667</definedName>
    <definedName name="MO_SPT_StockHigh_Sources_Thomson">Model!$671:$671</definedName>
    <definedName name="MO_SPT_StockLow">Model!$673:$673</definedName>
    <definedName name="MO_SPT_StockLow_Sources">Model!$674:$678</definedName>
    <definedName name="MO_SPT_StockLow_Sources_Bloomberg">Model!$675:$675</definedName>
    <definedName name="MO_SPT_StockLow_Sources_CapIQ">Model!$676:$676</definedName>
    <definedName name="MO_SPT_StockLow_Sources_FactSet">Model!$677:$677</definedName>
    <definedName name="MO_SPT_StockLow_Sources_RealTimeOff">Model!$674:$674</definedName>
    <definedName name="MO_SPT_StockLow_Sources_Thomson">Model!$678:$678</definedName>
    <definedName name="MO_SubSection_BS_SE">Model!$570:$570</definedName>
    <definedName name="MO_SubSection_BS_TA">Model!$530:$530</definedName>
    <definedName name="MO_SubSection_BS_TL">Model!$555:$555</definedName>
    <definedName name="MO_SubSection_CCFS_CFF">Model!$431:$431</definedName>
    <definedName name="MO_SubSection_CCFS_CFI">Model!$410:$410</definedName>
    <definedName name="MO_SubSection_CCFS_CFO">Model!$392:$392</definedName>
    <definedName name="MO_SubSection_CFS_CFF">Model!$499:$499</definedName>
    <definedName name="MO_SubSection_CFS_CFI">Model!$478:$478</definedName>
    <definedName name="MO_SubSection_CFS_CFO">Model!$460:$460</definedName>
    <definedName name="MO_UI_CEP">Model!$35:$35</definedName>
    <definedName name="MO_UI_CWP">Model!$26:$26</definedName>
    <definedName name="MO_UI_GEP">Model!$34:$34</definedName>
    <definedName name="MO_UI_GWP">Model!$20:$20</definedName>
    <definedName name="MO_UI_Loss">Model!$63:$63</definedName>
    <definedName name="MO_UI_NEP">Model!$41:$41</definedName>
    <definedName name="MO_UI_NWP">Model!$32:$32</definedName>
    <definedName name="MO_UI_OOE">Model!$71:$71</definedName>
    <definedName name="MO_UI_UI">Model!$90:$90</definedName>
    <definedName name="MO_UI_UnderwritingExpense">Model!$80:$80</definedName>
    <definedName name="MO_UPR_ChangeInCUP">Model!$141:$141</definedName>
    <definedName name="MO_UPR_ChangeInGUPR">Model!$140:$140</definedName>
    <definedName name="MO_UPR_ChangeInNUPR">Model!$142:$142</definedName>
    <definedName name="MO_UPR_CUP">Model!$137:$137</definedName>
    <definedName name="MO_UPR_GUPR">Model!$136:$136</definedName>
    <definedName name="MO_UPR_NUPR">Model!$138:$138</definedName>
    <definedName name="MO_UR_CombinedRatio">Model!$131:$131</definedName>
    <definedName name="MO_UR_LossRatio">Model!$121:$121</definedName>
    <definedName name="MO_UR_NRR">Model!$97:$97</definedName>
    <definedName name="MO_UR_OOERatio">Model!$126:$126</definedName>
    <definedName name="MO_UR_WPERatio">Model!$103:$103</definedName>
    <definedName name="MO_VA_FX_Average">Model!$387:$387</definedName>
    <definedName name="MO_VA_FX_EoP">Model!$388:$388</definedName>
    <definedName name="MO_VA_MarketCap">Model!$378:$378</definedName>
    <definedName name="MO_VA_P_ToB">Model!$381:$381</definedName>
    <definedName name="MO_VA_P_ToE">Model!$380:$380</definedName>
    <definedName name="MO_VA_StockPrice">Model!$377:$377</definedName>
    <definedName name="MO_VA_StockPrice_Avg">Model!$385:$385</definedName>
    <definedName name="MO_VA_StockPrice_EoP">Model!$386:$386</definedName>
    <definedName name="MO_VA_StockPrice_High">Model!$383:$383</definedName>
    <definedName name="MO_VA_StockPrice_Low">Model!$384:$384</definedName>
    <definedName name="MO_VA_StockPrice_TradingCurrency">Model!$389:$389</definedName>
    <definedName name="_xlnm.Print_Area" localSheetId="1">Model!$A$1:$BR$579</definedName>
    <definedName name="_xlnm.Print_Area" localSheetId="3">'Summary Page'!$A$1:$BR$76</definedName>
    <definedName name="_xlnm.Print_Titles" localSheetId="1">Model!$5:$5</definedName>
    <definedName name="SP.CompanyName">'Summary Page'!$A$1</definedName>
    <definedName name="SP.ReportFX">'Summary Page'!$B$2</definedName>
    <definedName name="SP.ValuationToggle">'Summary Page'!$B$4</definedName>
    <definedName name="SP_BSS_BVPS">'Summary Page'!$71:$71</definedName>
    <definedName name="SP_BSS_NLR">'Summary Page'!$68:$68</definedName>
    <definedName name="SP_BSS_NTR">'Summary Page'!$69:$69</definedName>
    <definedName name="SP_BSS_NUPR">'Summary Page'!$67:$67</definedName>
    <definedName name="SP_BSS_TBVPS">'Summary Page'!$72:$72</definedName>
    <definedName name="SP_Checks_SummaryPage">'Summary Page'!$C$79:$XFD$80</definedName>
    <definedName name="SP_Common_Column_A">'Summary Page'!$A:$A</definedName>
    <definedName name="SP_Common_Column_B">'Summary Page'!$B:$B</definedName>
    <definedName name="SP_Common_ColumnHeader">'Summary Page'!$2:$2</definedName>
    <definedName name="SP_Common_QEndDate">'Summary Page'!$1:$1</definedName>
    <definedName name="SP_CS_MarketCap">'Summary Page'!$6:$6</definedName>
    <definedName name="SP_CS_ShareCount">'Summary Page'!$5:$5</definedName>
    <definedName name="SP_CS_ShareCount_EoP_Diluted">'Summary Page'!$5:$5</definedName>
    <definedName name="SP_CS_StockPrice">'Summary Page'!$4:$4</definedName>
    <definedName name="SP_DS_DPS">'Summary Page'!$58:$58</definedName>
    <definedName name="SP_DS_PayoutRatio">'Summary Page'!$59:$59</definedName>
    <definedName name="SP_GF_Adjustments_Dilution">'Summary Page'!$48:$48</definedName>
    <definedName name="SP_GF_DisCont">'Summary Page'!$44:$44</definedName>
    <definedName name="SP_GF_Div_Prefs">'Summary Page'!$46:$46</definedName>
    <definedName name="SP_GF_EBT">'Summary Page'!$41:$41</definedName>
    <definedName name="SP_GF_EI">'Summary Page'!$43:$43</definedName>
    <definedName name="SP_GF_EPS_WAD">'Summary Page'!$50:$50</definedName>
    <definedName name="SP_GF_IE">'Summary Page'!$38:$38</definedName>
    <definedName name="SP_GF_Loss">'Summary Page'!$36:$36</definedName>
    <definedName name="SP_GF_NCI">'Summary Page'!$45:$45</definedName>
    <definedName name="SP_GF_NEP">'Summary Page'!$31:$31</definedName>
    <definedName name="SP_GF_NetIG">'Summary Page'!$33:$33</definedName>
    <definedName name="SP_GF_NetII">'Summary Page'!$32:$32</definedName>
    <definedName name="SP_GF_NI">'Summary Page'!$47:$47</definedName>
    <definedName name="SP_GF_NI_Diluted">'Summary Page'!$49:$49</definedName>
    <definedName name="SP_GF_OI">'Summary Page'!$39:$39</definedName>
    <definedName name="SP_GF_OOE">'Summary Page'!$37:$37</definedName>
    <definedName name="SP_GF_OtherIncome">'Summary Page'!$34:$34</definedName>
    <definedName name="SP_GF_OTI">'Summary Page'!$40:$40</definedName>
    <definedName name="SP_GF_Rev">'Summary Page'!$35:$35</definedName>
    <definedName name="SP_GF_ShareCount">'Summary Page'!$51:$51</definedName>
    <definedName name="SP_GF_Tax">'Summary Page'!$42:$42</definedName>
    <definedName name="SP_II_InvestmentBalance">'Summary Page'!$24:$24</definedName>
    <definedName name="SP_II_NetIG">'Summary Page'!$28:$28</definedName>
    <definedName name="SP_II_NetII">'Summary Page'!$26:$26</definedName>
    <definedName name="SP_NGF_EPS">'Summary Page'!$55:$55</definedName>
    <definedName name="SP_NGF_NI">'Summary Page'!$54:$54</definedName>
    <definedName name="SP_PR_ROA">'Summary Page'!$62:$62</definedName>
    <definedName name="SP_PR_ROE">'Summary Page'!$63:$63</definedName>
    <definedName name="SP_PR_ROTE">'Summary Page'!$64:$64</definedName>
    <definedName name="SP_Section_BalanceSheetSummary">'Summary Page'!$66:$66</definedName>
    <definedName name="SP_Section_CapitalizationSummary">'Summary Page'!$3:$3</definedName>
    <definedName name="SP_Section_Checks">'Summary Page'!$78:$78</definedName>
    <definedName name="SP_Section_DividendSummary">'Summary Page'!$57:$57</definedName>
    <definedName name="SP_Section_GAAPFinancials">'Summary Page'!$30:$30</definedName>
    <definedName name="SP_Section_II">'Summary Page'!$23:$23</definedName>
    <definedName name="SP_Section_LastRow">'Summary Page'!$82:$82</definedName>
    <definedName name="SP_Section_NonGAAPFinancials">'Summary Page'!$53:$53</definedName>
    <definedName name="SP_Section_ProfitabilityRatios">'Summary Page'!$61:$61</definedName>
    <definedName name="SP_Section_UI">'Summary Page'!$8:$8</definedName>
    <definedName name="SP_Section_UR">'Summary Page'!$18:$18</definedName>
    <definedName name="SP_Section_ValuationMetrics">'Summary Page'!$74:$74</definedName>
    <definedName name="SP_UI_Loss">'Summary Page'!$12:$12</definedName>
    <definedName name="SP_UI_NEP">'Summary Page'!$10:$10</definedName>
    <definedName name="SP_UI_NWP">'Summary Page'!$9:$9</definedName>
    <definedName name="SP_UI_OOE">'Summary Page'!$13:$13</definedName>
    <definedName name="SP_UI_UI">'Summary Page'!$16:$16</definedName>
    <definedName name="SP_UI_UnderwritingExpense">'Summary Page'!$14:$14</definedName>
    <definedName name="SP_UR_CombinedRatio">'Summary Page'!$21:$21</definedName>
    <definedName name="SP_UR_LossRatio">'Summary Page'!$19:$19</definedName>
    <definedName name="SP_UR_OOERatio">'Summary Page'!$20:$20</definedName>
    <definedName name="SP_VM_P_ToB">'Summary Page'!$76:$76</definedName>
    <definedName name="SP_VM_P_ToE">'Summary Page'!$75:$75</definedName>
    <definedName name="tb_ConsensusEstimate">Model!$A$650:$BR$661</definedName>
    <definedName name="tb_EntireModel">Model!$A$1:$BR$581</definedName>
    <definedName name="tb_Guidance_FY">Model!$A$644:$BR$648</definedName>
    <definedName name="tb_Guidance_Q">Model!$A$639:$BR$642</definedName>
    <definedName name="tb_KeyOutputs">Model!$A$624:$A$631</definedName>
    <definedName name="tb_KPIs">Model!$A$633:$A$637</definedName>
    <definedName name="tb_StockPrice">Model!$A$663:$BR$693</definedName>
    <definedName name="tb_Tickers">Model!$A$611:$A$616</definedName>
    <definedName name="tb_UpdateLog">'Update Log'!$C$10:$H$52</definedName>
    <definedName name="tb_ValuationToggle">Model!$A$618:$B$622</definedName>
    <definedName name="UL.CSIN">'Update Log'!$H$7</definedName>
    <definedName name="UL.ModelVersion">'Update Log'!$H$8</definedName>
    <definedName name="UL.MRQ">'Update Log'!$F$7</definedName>
    <definedName name="UL.MRQColNum">'Update Log'!$E$7</definedName>
    <definedName name="WS.CanalystName" localSheetId="0">"Front Page"</definedName>
    <definedName name="WS.CanalystName" localSheetId="1">"Model"</definedName>
    <definedName name="WS.CanalystName" localSheetId="3">"Summary Page"</definedName>
    <definedName name="WS.CanalystName" localSheetId="4">"Update Log"</definedName>
    <definedName name="z_1EM0XH0128_MO_AN_Annuitynoncoreearningslosses">Model!$251:$251</definedName>
    <definedName name="z_1EM0XH0128_MO_AN_CoreNetOperatingEarnings">Model!$258:$258</definedName>
    <definedName name="z_1EM0XH0128_MO_AN_deferredtax">Model!$260:$260</definedName>
    <definedName name="z_1EM0XH0128_MO_AN_Discontinuedannuityoperations">Model!$255:$255</definedName>
    <definedName name="z_1EM0XH0128_MO_AN_Lossonearlyretirementofdebt">Model!$254:$254</definedName>
    <definedName name="z_1EM0XH0128_MO_AN_Neonexitedlines">Model!$253:$253</definedName>
    <definedName name="z_1EM0XH0128_MO_AN_NetEarningsAttributabletoShareholders">Model!$249:$249</definedName>
    <definedName name="z_1EM0XH0128_MO_AN_Noncoreitems">Model!$257:$257</definedName>
    <definedName name="z_1EM0XH0128_MO_AN_Other">Model!$256:$256</definedName>
    <definedName name="z_1EM0XH0128_MO_AN_Realizedgainslossesonsecurities">Model!$250:$250</definedName>
    <definedName name="z_1EM0XH0128_MO_AN_SpecialAEcharges">Model!$252:$252</definedName>
    <definedName name="z_1EM0XH0128_MO_BlankRow_AN">Model!$261:$261</definedName>
    <definedName name="z_1EM0XH0128_MO_BlankRow_AN_1">Model!$259:$259</definedName>
    <definedName name="z_1EM0XH0128_MO_BlankRow_BS_5">Model!$554:$554</definedName>
    <definedName name="z_1EM0XH0128_MO_BlankRow_BS_6">Model!$569:$569</definedName>
    <definedName name="z_1EM0XH0128_MO_BlankRow_BS_7">Model!$580:$580</definedName>
    <definedName name="z_1EM0XH0128_MO_BlankRow_BS_8">Model!$582:$582</definedName>
    <definedName name="z_1EM0XH0128_MO_BlankRow_BSS">Model!$331:$331</definedName>
    <definedName name="z_1EM0XH0128_MO_BlankRow_BSS_1">Model!$334:$334</definedName>
    <definedName name="z_1EM0XH0128_MO_BlankRow_BSS_2">Model!$342:$342</definedName>
    <definedName name="z_1EM0XH0128_MO_BlankRow_BSS_3">Model!$346:$346</definedName>
    <definedName name="z_1EM0XH0128_MO_BlankRow_BSS_4">Model!$351:$351</definedName>
    <definedName name="z_1EM0XH0128_MO_BlankRow_CCFS">Model!$409:$409</definedName>
    <definedName name="z_1EM0XH0128_MO_BlankRow_CCFS_1">Model!$430:$430</definedName>
    <definedName name="z_1EM0XH0128_MO_BlankRow_CCFS_2">Model!$449:$449</definedName>
    <definedName name="z_1EM0XH0128_MO_BlankRow_CCFS_3">Model!$452:$452</definedName>
    <definedName name="z_1EM0XH0128_MO_BlankRow_CCFS_4">Model!$458:$458</definedName>
    <definedName name="z_1EM0XH0128_MO_BlankRow_CCFS_5">Model!$455:$455</definedName>
    <definedName name="z_1EM0XH0128_MO_BlankRow_CFS">Model!$477:$477</definedName>
    <definedName name="z_1EM0XH0128_MO_BlankRow_CFS_1">Model!$498:$498</definedName>
    <definedName name="z_1EM0XH0128_MO_BlankRow_CFS_2">Model!$517:$517</definedName>
    <definedName name="z_1EM0XH0128_MO_BlankRow_CFS_3">Model!$520:$520</definedName>
    <definedName name="z_1EM0XH0128_MO_BlankRow_CFS_4">Model!$526:$526</definedName>
    <definedName name="z_1EM0XH0128_MO_BlankRow_CFS_5">Model!$528:$528</definedName>
    <definedName name="z_1EM0XH0128_MO_BlankRow_CFS_6">Model!$523:$523</definedName>
    <definedName name="z_1EM0XH0128_MO_BlankRow_DS">Model!$324:$324</definedName>
    <definedName name="z_1EM0XH0128_MO_BlankRow_DS_1">Model!$326:$326</definedName>
    <definedName name="z_1EM0XH0128_MO_BlankRow_GA">Model!$13:$13</definedName>
    <definedName name="z_1EM0XH0128_MO_BlankRow_IS">Model!$245:$245</definedName>
    <definedName name="z_1EM0XH0128_MO_BlankRow_IS_1">Model!$247:$247</definedName>
    <definedName name="z_1EM0XH0128_MO_BlankRow_MA">Model!$379:$379</definedName>
    <definedName name="z_1EM0XH0128_MO_BlankRow_MA_1">Model!$390:$390</definedName>
    <definedName name="z_1EM0XH0128_MO_BlankRow_MA_2">Model!$382:$382</definedName>
    <definedName name="z_1EM0XH0128_MO_BlankRow_OS">Model!$33:$33</definedName>
    <definedName name="z_1EM0XH0128_MO_BlankRow_OS_1">Model!$43:$43</definedName>
    <definedName name="z_1EM0XH0128_MO_BlankRow_OS_10">Model!$152:$152</definedName>
    <definedName name="z_1EM0XH0128_MO_BlankRow_OS_11">Model!$154:$154</definedName>
    <definedName name="z_1EM0XH0128_MO_BlankRow_OS_12">Model!$176:$176</definedName>
    <definedName name="z_1EM0XH0128_MO_BlankRow_OS_13">Model!$187:$187</definedName>
    <definedName name="z_1EM0XH0128_MO_BlankRow_OS_14">Model!$193:$193</definedName>
    <definedName name="z_1EM0XH0128_MO_BlankRow_OS_15">Model!$200:$200</definedName>
    <definedName name="z_1EM0XH0128_MO_BlankRow_OS_16">Model!$202:$202</definedName>
    <definedName name="z_1EM0XH0128_MO_BlankRow_OS_17">Model!$210:$210</definedName>
    <definedName name="z_1EM0XH0128_MO_BlankRow_OS_18">Model!$218:$218</definedName>
    <definedName name="z_1EM0XH0128_MO_BlankRow_OS_19">Model!$375:$375</definedName>
    <definedName name="z_1EM0XH0128_MO_BlankRow_OS_2">Model!$81:$81</definedName>
    <definedName name="z_1EM0XH0128_MO_BlankRow_OS_20">Model!$358:$358</definedName>
    <definedName name="z_1EM0XH0128_MO_BlankRow_OS_21">Model!$360:$360</definedName>
    <definedName name="z_1EM0XH0128_MO_BlankRow_OS_22">Model!$364:$364</definedName>
    <definedName name="z_1EM0XH0128_MO_BlankRow_OS_23">Model!$367:$367</definedName>
    <definedName name="z_1EM0XH0128_MO_BlankRow_OS_24">Model!$312:$312</definedName>
    <definedName name="z_1EM0XH0128_MO_BlankRow_OS_25">Model!$320:$320</definedName>
    <definedName name="z_1EM0XH0128_MO_BlankRow_OS_26">Model!$315:$315</definedName>
    <definedName name="z_1EM0XH0128_MO_BlankRow_OS_27">Model!$318:$318</definedName>
    <definedName name="z_1EM0XH0128_MO_BlankRow_OS_3">Model!$92:$92</definedName>
    <definedName name="z_1EM0XH0128_MO_BlankRow_OS_4">Model!$98:$98</definedName>
    <definedName name="z_1EM0XH0128_MO_BlankRow_OS_5">Model!$104:$104</definedName>
    <definedName name="z_1EM0XH0128_MO_BlankRow_OS_6">Model!$134:$134</definedName>
    <definedName name="z_1EM0XH0128_MO_BlankRow_OS_7">Model!$139:$139</definedName>
    <definedName name="z_1EM0XH0128_MO_BlankRow_OS_8">Model!$143:$143</definedName>
    <definedName name="z_1EM0XH0128_MO_BlankRow_OS_9">Model!$148:$148</definedName>
    <definedName name="z_1EM0XH0128_MO_BlankRow_RIS">Model!$269:$269</definedName>
    <definedName name="z_1EM0XH0128_MO_BlankRow_RIS_1">Model!$277:$277</definedName>
    <definedName name="z_1EM0XH0128_MO_BlankRow_RIS_2">Model!$291:$291</definedName>
    <definedName name="z_1EM0XH0128_MO_BlankRow_RIS_3">Model!$294:$294</definedName>
    <definedName name="z_1EM0XH0128_MO_BlankRow_RIS_4">Model!$299:$299</definedName>
    <definedName name="z_1EM0XH0128_MO_BlankRow_RIS_5">Model!$303:$303</definedName>
    <definedName name="z_1EM0XH0128_MO_BlankRow_SNA">Model!$608:$608</definedName>
    <definedName name="z_1EM0XH0128_MO_BlankRow_SNA_1">Model!$610:$610</definedName>
    <definedName name="z_1EM0XH0128_MO_BlankRow_SNA_10">Model!$686:$686</definedName>
    <definedName name="z_1EM0XH0128_MO_BlankRow_SNA_11">Model!$693:$693</definedName>
    <definedName name="z_1EM0XH0128_MO_BlankRow_SNA_12">Model!$698:$698</definedName>
    <definedName name="z_1EM0XH0128_MO_BlankRow_SNA_13">Model!$716:$716</definedName>
    <definedName name="z_1EM0XH0128_MO_BlankRow_SNA_14">Model!$697:$697</definedName>
    <definedName name="z_1EM0XH0128_MO_BlankRow_SNA_15">Model!$637:$637</definedName>
    <definedName name="z_1EM0XH0128_MO_BlankRow_SNA_16">Model!$638:$638</definedName>
    <definedName name="z_1EM0XH0128_MO_BlankRow_SNA_17">Model!$642:$642</definedName>
    <definedName name="z_1EM0XH0128_MO_BlankRow_SNA_18">Model!$643:$643</definedName>
    <definedName name="z_1EM0XH0128_MO_BlankRow_SNA_19">Model!$648:$648</definedName>
    <definedName name="z_1EM0XH0128_MO_BlankRow_SNA_2">Model!$617:$617</definedName>
    <definedName name="z_1EM0XH0128_MO_BlankRow_SNA_20">Model!$649:$649</definedName>
    <definedName name="z_1EM0XH0128_MO_BlankRow_SNA_3">Model!$623:$623</definedName>
    <definedName name="z_1EM0XH0128_MO_BlankRow_SNA_4">Model!$631:$631</definedName>
    <definedName name="z_1EM0XH0128_MO_BlankRow_SNA_5">Model!$632:$632</definedName>
    <definedName name="z_1EM0XH0128_MO_BlankRow_SNA_6">Model!$661:$661</definedName>
    <definedName name="z_1EM0XH0128_MO_BlankRow_SNA_7">Model!$662:$662</definedName>
    <definedName name="z_1EM0XH0128_MO_BlankRow_SNA_8">Model!$672:$672</definedName>
    <definedName name="z_1EM0XH0128_MO_BlankRow_SNA_9">Model!$679:$679</definedName>
    <definedName name="z_1EM0XH0128_MO_BS_Accumulatedothercomprehensiveincome">Model!$576:$576</definedName>
    <definedName name="z_1EM0XH0128_MO_BS_agents’balancesandpremiumsreceivable">Model!$545:$545</definedName>
    <definedName name="z_1EM0XH0128_MO_BS_Agentsbalancesandpremiumsreceivable">"Deleted"</definedName>
    <definedName name="z_1EM0XH0128_MO_BS_annuitybenefitsaccumulated">Model!$558:$558</definedName>
    <definedName name="z_1EM0XH0128_MO_BS_appropriated—managedinvestmententities">Model!$574:$574</definedName>
    <definedName name="z_1EM0XH0128_MO_BS_Assets">Model!$530:$530</definedName>
    <definedName name="z_1EM0XH0128_MO_BS_Assetsofdiscontinuedannuityoperations">Model!$552:$552</definedName>
    <definedName name="z_1EM0XH0128_MO_BS_assetsofmanagedinvestmententities">Model!$547:$547</definedName>
    <definedName name="z_1EM0XH0128_MO_BS_BSCheck">Model!$581:$581</definedName>
    <definedName name="z_1EM0XH0128_MO_BS_capitalsurplus">Model!$573:$573</definedName>
    <definedName name="z_1EM0XH0128_MO_BS_cashandcashequivalents">Model!$531:$531</definedName>
    <definedName name="z_1EM0XH0128_MO_BS_Cashandcashequivalentsfromdiscontinuedoperations">Model!$532:$532</definedName>
    <definedName name="z_1EM0XH0128_MO_BS_commonstock">Model!$572:$572</definedName>
    <definedName name="z_1EM0XH0128_MO_BS_deferredincometax">Model!$564:$564</definedName>
    <definedName name="z_1EM0XH0128_MO_BS_Deferredpolicyacquisitioncosts">Model!$546:$546</definedName>
    <definedName name="z_1EM0XH0128_MO_BS_Equityindexcalloptions">Model!$540:$540</definedName>
    <definedName name="z_1EM0XH0128_MO_BS_Equitysecurities">Model!$537:$537</definedName>
    <definedName name="z_1EM0XH0128_MO_BS_Equitysecuritiesavailableforsaleatfairvaluecost1356and1">Model!$535:$535</definedName>
    <definedName name="z_1EM0XH0128_MO_BS_fixedmaturities">Model!$534:$534</definedName>
    <definedName name="z_1EM0XH0128_MO_BS_fixedmaturitiesavailableforsaleatfairvalueamortizedcost—35445and33">Model!$533:$533</definedName>
    <definedName name="z_1EM0XH0128_MO_BS_goodwill">Model!$551:$551</definedName>
    <definedName name="z_1EM0XH0128_MO_BS_Investmentsaccountedforusingtheequitymethod">Model!$536:$536</definedName>
    <definedName name="z_1EM0XH0128_MO_BS_Liabilities">Model!$555:$555</definedName>
    <definedName name="z_1EM0XH0128_MO_BS_Liabilitiesofdiscontinuedannuityoperations">Model!$567:$567</definedName>
    <definedName name="z_1EM0XH0128_MO_BS_liabilitiesofmanagedinvestmententities">Model!$561:$561</definedName>
    <definedName name="z_1EM0XH0128_MO_BS_life">Model!$559:$559</definedName>
    <definedName name="z_1EM0XH0128_MO_BS_Longtermdebt">Model!$562:$562</definedName>
    <definedName name="z_1EM0XH0128_MO_BS_mortgageloans">Model!$538:$538</definedName>
    <definedName name="z_1EM0XH0128_MO_BS_NCI">Model!$578:$578</definedName>
    <definedName name="z_1EM0XH0128_MO_BS_Otherassets">Model!$550:$550</definedName>
    <definedName name="z_1EM0XH0128_MO_BS_Otherliabilities">Model!$565:$565</definedName>
    <definedName name="z_1EM0XH0128_MO_BS_Otherreceivables">Model!$548:$548</definedName>
    <definedName name="z_1EM0XH0128_MO_BS_payabletoreinsurers">Model!$560:$560</definedName>
    <definedName name="z_1EM0XH0128_MO_BS_policyloans">Model!$539:$539</definedName>
    <definedName name="z_1EM0XH0128_MO_BS_preferredstock">Model!$571:$571</definedName>
    <definedName name="z_1EM0XH0128_MO_BS_prepaidreinsurancepremiums">Model!$544:$544</definedName>
    <definedName name="z_1EM0XH0128_MO_BS_Realestateandotherinvestments">Model!$541:$541</definedName>
    <definedName name="z_1EM0XH0128_MO_BS_recoverablesfromreinsurers">Model!$543:$543</definedName>
    <definedName name="z_1EM0XH0128_MO_BS_Redeemablenoncontrollinginterests">Model!$566:$566</definedName>
    <definedName name="z_1EM0XH0128_MO_BS_retainedearnings">Model!$575:$575</definedName>
    <definedName name="z_1EM0XH0128_MO_BS_ShareholdersEquity">Model!$570:$570</definedName>
    <definedName name="z_1EM0XH0128_MO_BS_TotalAssets">Model!$553:$553</definedName>
    <definedName name="z_1EM0XH0128_MO_BS_totalcashandinvestments">Model!$542:$542</definedName>
    <definedName name="z_1EM0XH0128_MO_BS_TotalLiabilities">Model!$568:$568</definedName>
    <definedName name="z_1EM0XH0128_MO_BS_TotalLiabilitiesSE">Model!$579:$579</definedName>
    <definedName name="z_1EM0XH0128_MO_BS_TotalSE">Model!$577:$577</definedName>
    <definedName name="z_1EM0XH0128_MO_BS_unearnedpremiums">Model!$557:$557</definedName>
    <definedName name="z_1EM0XH0128_MO_BS_unpaidlossesandlossadjustmentexpenses">Model!$556:$556</definedName>
    <definedName name="z_1EM0XH0128_MO_BS_variableannuityassetsseparateaccounts">Model!$549:$549</definedName>
    <definedName name="z_1EM0XH0128_MO_BS_variableannuityliabilitiesseparateaccounts">Model!$563:$563</definedName>
    <definedName name="z_1EM0XH0128_MO_BSS_appropriatedretainedearnings">Model!$336:$336</definedName>
    <definedName name="z_1EM0XH0128_MO_BSS_BookValueperCommonShare">Model!$343:$343</definedName>
    <definedName name="z_1EM0XH0128_MO_BSS_consensusestimatesbookvaluepercommonshare">Model!$344:$344</definedName>
    <definedName name="z_1EM0XH0128_MO_BSS_ConsensusEstimatesReturnonAverageCommonEquity">Model!$349:$349</definedName>
    <definedName name="z_1EM0XH0128_MO_BSS_goodwill">Model!$339:$339</definedName>
    <definedName name="z_1EM0XH0128_MO_BSS_intangible">Model!$340:$340</definedName>
    <definedName name="z_1EM0XH0128_MO_BSS_lifeinsurancestatutorycapitalandsurplus">Model!$370:$370</definedName>
    <definedName name="z_1EM0XH0128_MO_BSS_lifeinsurancestatutorynetincome">Model!$373:$373</definedName>
    <definedName name="z_1EM0XH0128_MO_BSS_NetLossReserves">Model!$329:$329</definedName>
    <definedName name="z_1EM0XH0128_MO_BSS_NetTechnicalReserves">Model!$330:$330</definedName>
    <definedName name="z_1EM0XH0128_MO_BSS_NetUnearnedPremiumReserves">Model!$328:$328</definedName>
    <definedName name="z_1EM0XH0128_MO_BSS_propertyandcasualtyinsurancestatutorycapitalandsurplus">Model!$369:$369</definedName>
    <definedName name="z_1EM0XH0128_MO_BSS_propertyandcasualtyinsurancestatutorynetincome">Model!$372:$372</definedName>
    <definedName name="z_1EM0XH0128_MO_BSS_ReserveRatio">Model!$332:$332</definedName>
    <definedName name="z_1EM0XH0128_MO_BSS_ReturnonAverageCommonEquity">Model!$348:$348</definedName>
    <definedName name="z_1EM0XH0128_MO_BSS_ReturnonAverageTangibleCommonEquity">Model!$350:$350</definedName>
    <definedName name="z_1EM0XH0128_MO_BSS_ReturnonAverageTotalAssets">Model!$347:$347</definedName>
    <definedName name="z_1EM0XH0128_MO_BSS_SolvencyRatio">Model!$333:$333</definedName>
    <definedName name="z_1EM0XH0128_MO_BSS_TangibleBookValueperCommonShare">Model!$345:$345</definedName>
    <definedName name="z_1EM0XH0128_MO_BSS_TotalCommonShareholdersEquity">Model!$337:$337</definedName>
    <definedName name="z_1EM0XH0128_MO_BSS_TotalEquity">Model!$335:$335</definedName>
    <definedName name="z_1EM0XH0128_MO_BSS_totalstatutorycapitalandsurplus">Model!$371:$371</definedName>
    <definedName name="z_1EM0XH0128_MO_BSS_totalstatutorynetincome">Model!$374:$374</definedName>
    <definedName name="z_1EM0XH0128_MO_BSS_TotalTangibleCommonEquity">Model!$341:$341</definedName>
    <definedName name="z_1EM0XH0128_MO_BSS_unrealizedgainsrelatedtofixedmaturities">Model!$338:$338</definedName>
    <definedName name="z_1EM0XH0128_MO_CCFS_Acquisitionofnoncontrollinginterestsinsubsidiary">Model!$446:$446</definedName>
    <definedName name="z_1EM0XH0128_MO_CCFS_additionallongtermborrowings">Model!$438:$438</definedName>
    <definedName name="z_1EM0XH0128_MO_CCFS_annuitybenefits">Model!$396:$396</definedName>
    <definedName name="z_1EM0XH0128_MO_CCFS_annuityreceipts">Model!$432:$432</definedName>
    <definedName name="z_1EM0XH0128_MO_CCFS_annuitysurrenders">Model!$433:$433</definedName>
    <definedName name="z_1EM0XH0128_MO_CCFS_BeginningCashBalance">Model!$453:$453</definedName>
    <definedName name="z_1EM0XH0128_MO_CCFS_cashandcashequivalentsofbusinessesacquiredsold">Model!$425:$425</definedName>
    <definedName name="z_1EM0XH0128_MO_CCFS_CashdividendspaidonCommonStock">Model!$445:$445</definedName>
    <definedName name="z_1EM0XH0128_MO_CCFS_Cashpaidforincometaxes">Model!$457:$457</definedName>
    <definedName name="z_1EM0XH0128_MO_CCFS_Cashpaidforinterestonlongtermdebt">Model!$456:$456</definedName>
    <definedName name="z_1EM0XH0128_MO_CCFS_Cashtranferredinannuityreinsurance">Model!$437:$437</definedName>
    <definedName name="z_1EM0XH0128_MO_CCFS_Cededannuityreceipts">Model!$434:$434</definedName>
    <definedName name="z_1EM0XH0128_MO_CCFS_Cededannuitysurrenders">Model!$435:$435</definedName>
    <definedName name="z_1EM0XH0128_MO_CCFS_CFF">Model!$431:$431</definedName>
    <definedName name="z_1EM0XH0128_MO_CCFS_CFI">Model!$410:$410</definedName>
    <definedName name="z_1EM0XH0128_MO_CCFS_CFO">Model!$392:$392</definedName>
    <definedName name="z_1EM0XH0128_MO_CCFS_CFObeforeWC">Model!$400:$400</definedName>
    <definedName name="z_1EM0XH0128_MO_CCFS_changeinsecuritieslendingcollateral">Model!$423:$423</definedName>
    <definedName name="z_1EM0XH0128_MO_CCFS_changeinsecuritieslendingobligation">Model!$441:$441</definedName>
    <definedName name="z_1EM0XH0128_MO_CCFS_Deferredannuityandlifepolicyacquisitioncosts">Model!$399:$399</definedName>
    <definedName name="z_1EM0XH0128_MO_CCFS_deferredincometaxes">Model!$394:$394</definedName>
    <definedName name="z_1EM0XH0128_MO_CCFS_depreciationandamortization">Model!$395:$395</definedName>
    <definedName name="z_1EM0XH0128_MO_CCFS_EndingCashBalance">Model!$454:$454</definedName>
    <definedName name="z_1EM0XH0128_MO_CCFS_FX">Model!$450:$450</definedName>
    <definedName name="z_1EM0XH0128_MO_CCFS_insuranceclaimsandreserves">Model!$403:$403</definedName>
    <definedName name="z_1EM0XH0128_MO_CCFS_issuancesofcommonstock">Model!$443:$443</definedName>
    <definedName name="z_1EM0XH0128_MO_CCFS_Issuancesofmanagedinvestmententitiesliabilities">Model!$440:$440</definedName>
    <definedName name="z_1EM0XH0128_MO_CCFS_Managedinvestmententitiesassetsliabilities">Model!$406:$406</definedName>
    <definedName name="z_1EM0XH0128_MO_CCFS_managedinvestmententitiesproceedsfromsalesandredemptionsofinvestments">Model!$427:$427</definedName>
    <definedName name="z_1EM0XH0128_MO_CCFS_managedinvestmententitiespurchasesofinvestments">Model!$426:$426</definedName>
    <definedName name="z_1EM0XH0128_MO_CCFS_NetCFF">Model!$448:$448</definedName>
    <definedName name="z_1EM0XH0128_MO_CCFS_NetCFI">Model!$429:$429</definedName>
    <definedName name="z_1EM0XH0128_MO_CCFS_NetCFO">Model!$408:$408</definedName>
    <definedName name="z_1EM0XH0128_MO_CCFS_NetChangeinCashBalance">Model!$451:$451</definedName>
    <definedName name="z_1EM0XH0128_MO_CCFS_netearnings">Model!$393:$393</definedName>
    <definedName name="z_1EM0XH0128_MO_CCFS_netsalesoftradingsecurities">Model!$398:$398</definedName>
    <definedName name="z_1EM0XH0128_MO_CCFS_nettransfersfromvariableannuityassets">Model!$436:$436</definedName>
    <definedName name="z_1EM0XH0128_MO_CCFS_Otherassets">Model!$402:$402</definedName>
    <definedName name="z_1EM0XH0128_MO_CCFS_Otherfinancingactivities">Model!$447:$447</definedName>
    <definedName name="z_1EM0XH0128_MO_CCFS_Otherinvestingactivities">Model!$428:$428</definedName>
    <definedName name="z_1EM0XH0128_MO_CCFS_Otherliabilities">Model!$405:$405</definedName>
    <definedName name="z_1EM0XH0128_MO_CCFS_Otheroperatingactivities">Model!$407:$407</definedName>
    <definedName name="z_1EM0XH0128_MO_CCFS_payabletoreinsurers">Model!$404:$404</definedName>
    <definedName name="z_1EM0XH0128_MO_CCFS_proceedsfrommaturitiesandredemptionsoffixedmaturities">Model!$417:$417</definedName>
    <definedName name="z_1EM0XH0128_MO_CCFS_proceedsfromrepaymentsofmortgageloans">Model!$418:$418</definedName>
    <definedName name="z_1EM0XH0128_MO_CCFS_Proceedsfromsalesandsettlementsofequityindexcalloptionsandotherinvestments">Model!$421:$421</definedName>
    <definedName name="z_1EM0XH0128_MO_CCFS_proceedsfromsalesofbusinesses">Model!$424:$424</definedName>
    <definedName name="z_1EM0XH0128_MO_CCFS_Proceedsfromsalesofequitysecurities">Model!$420:$420</definedName>
    <definedName name="z_1EM0XH0128_MO_CCFS_proceedsfromsalesoffixedmaturities">Model!$419:$419</definedName>
    <definedName name="z_1EM0XH0128_MO_CCFS_proceedsfromsalesofrealestate">Model!$422:$422</definedName>
    <definedName name="z_1EM0XH0128_MO_CCFS_purchasesofbusinesses">Model!$416:$416</definedName>
    <definedName name="z_1EM0XH0128_MO_CCFS_Purchasesofequityindexcalloptionsandotherinvestments">Model!$414:$414</definedName>
    <definedName name="z_1EM0XH0128_MO_CCFS_Purchasesofequitysecurities">Model!$412:$412</definedName>
    <definedName name="z_1EM0XH0128_MO_CCFS_purchasesoffixedmaturities">Model!$411:$411</definedName>
    <definedName name="z_1EM0XH0128_MO_CCFS_purchasesofmortgageloans">Model!$413:$413</definedName>
    <definedName name="z_1EM0XH0128_MO_CCFS_purchasesofrealestate">Model!$415:$415</definedName>
    <definedName name="z_1EM0XH0128_MO_CCFS_realizedgainslossesoninvestingactivities">Model!$397:$397</definedName>
    <definedName name="z_1EM0XH0128_MO_CCFS_Reductionsoflongtermdebt">Model!$439:$439</definedName>
    <definedName name="z_1EM0XH0128_MO_CCFS_Reinsuranceandotherreceivables">Model!$401:$401</definedName>
    <definedName name="z_1EM0XH0128_MO_CCFS_repurchasesofcommonstock">Model!$444:$444</definedName>
    <definedName name="z_1EM0XH0128_MO_CCFS_Retirementsofmanagedinvestmententitiesliabilities">Model!$442:$442</definedName>
    <definedName name="z_1EM0XH0128_MO_CFS_Acquisitionofnoncontrollinginterestsinsubsidiary">Model!$514:$514</definedName>
    <definedName name="z_1EM0XH0128_MO_CFS_additionallongtermborrowings">Model!$506:$506</definedName>
    <definedName name="z_1EM0XH0128_MO_CFS_annuitybenefits">Model!$464:$464</definedName>
    <definedName name="z_1EM0XH0128_MO_CFS_annuityreceipts">Model!$500:$500</definedName>
    <definedName name="z_1EM0XH0128_MO_CFS_annuitysurrenders">Model!$501:$501</definedName>
    <definedName name="z_1EM0XH0128_MO_CFS_BeginningCashBalance">Model!$521:$521</definedName>
    <definedName name="z_1EM0XH0128_MO_CFS_cashandcashequivalentsofbusinessesacquiredsold">Model!$493:$493</definedName>
    <definedName name="z_1EM0XH0128_MO_CFS_CashdividendspaidonCommonStock">Model!$513:$513</definedName>
    <definedName name="z_1EM0XH0128_MO_CFS_Cashpaidforincometaxes">Model!$525:$525</definedName>
    <definedName name="z_1EM0XH0128_MO_CFS_Cashpaidforinterestonlongtermdebt">Model!$524:$524</definedName>
    <definedName name="z_1EM0XH0128_MO_CFS_Cashtranferredinannuityreinsurance">Model!$505:$505</definedName>
    <definedName name="z_1EM0XH0128_MO_CFS_Cededannuityreceipts">Model!$502:$502</definedName>
    <definedName name="z_1EM0XH0128_MO_CFS_Cededannuitysurrenders">Model!$503:$503</definedName>
    <definedName name="z_1EM0XH0128_MO_CFS_CFCheck">Model!$527:$527</definedName>
    <definedName name="z_1EM0XH0128_MO_CFS_CFF">Model!$499:$499</definedName>
    <definedName name="z_1EM0XH0128_MO_CFS_CFI">Model!$478:$478</definedName>
    <definedName name="z_1EM0XH0128_MO_CFS_CFO">Model!$460:$460</definedName>
    <definedName name="z_1EM0XH0128_MO_CFS_CFObeforeWC">Model!$468:$468</definedName>
    <definedName name="z_1EM0XH0128_MO_CFS_changeinsecuritieslendingcollateral">Model!$491:$491</definedName>
    <definedName name="z_1EM0XH0128_MO_CFS_changeinsecuritieslendingobligation">Model!$509:$509</definedName>
    <definedName name="z_1EM0XH0128_MO_CFS_Deferredannuityandlifepolicyacquisitioncosts">Model!$467:$467</definedName>
    <definedName name="z_1EM0XH0128_MO_CFS_deferredincometaxes">Model!$462:$462</definedName>
    <definedName name="z_1EM0XH0128_MO_CFS_depreciationandamortization">Model!$463:$463</definedName>
    <definedName name="z_1EM0XH0128_MO_CFS_EndingCashBalance">Model!$522:$522</definedName>
    <definedName name="z_1EM0XH0128_MO_CFS_FX">Model!$518:$518</definedName>
    <definedName name="z_1EM0XH0128_MO_CFS_insuranceclaimsandreserves">Model!$471:$471</definedName>
    <definedName name="z_1EM0XH0128_MO_CFS_issuancesofcommonstock">Model!$511:$511</definedName>
    <definedName name="z_1EM0XH0128_MO_CFS_Issuancesofmanagedinvestmententitiesliabilities">Model!$508:$508</definedName>
    <definedName name="z_1EM0XH0128_MO_CFS_Managedinvestmententitiesassetsliabilities">Model!$474:$474</definedName>
    <definedName name="z_1EM0XH0128_MO_CFS_managedinvestmententitiesproceedsfromsalesandredemptionsofinvestments">Model!$495:$495</definedName>
    <definedName name="z_1EM0XH0128_MO_CFS_managedinvestmententitiespurchasesofinvestments">Model!$494:$494</definedName>
    <definedName name="z_1EM0XH0128_MO_CFS_NetCFF">Model!$516:$516</definedName>
    <definedName name="z_1EM0XH0128_MO_CFS_NetCFI">Model!$497:$497</definedName>
    <definedName name="z_1EM0XH0128_MO_CFS_NetCFO">Model!$476:$476</definedName>
    <definedName name="z_1EM0XH0128_MO_CFS_NetChangeinCashBalance">Model!$519:$519</definedName>
    <definedName name="z_1EM0XH0128_MO_CFS_netearnings">Model!$461:$461</definedName>
    <definedName name="z_1EM0XH0128_MO_CFS_netsalesoftradingsecurities">Model!$466:$466</definedName>
    <definedName name="z_1EM0XH0128_MO_CFS_nettransfersfromvariableannuityassets">Model!$504:$504</definedName>
    <definedName name="z_1EM0XH0128_MO_CFS_Otherassets">Model!$470:$470</definedName>
    <definedName name="z_1EM0XH0128_MO_CFS_Otherfinancingactivities">Model!$515:$515</definedName>
    <definedName name="z_1EM0XH0128_MO_CFS_Otherinvestingactivities">Model!$496:$496</definedName>
    <definedName name="z_1EM0XH0128_MO_CFS_Otherliabilities">Model!$473:$473</definedName>
    <definedName name="z_1EM0XH0128_MO_CFS_Otheroperatingactivities">Model!$475:$475</definedName>
    <definedName name="z_1EM0XH0128_MO_CFS_payabletoreinsurers">Model!$472:$472</definedName>
    <definedName name="z_1EM0XH0128_MO_CFS_proceedsfrommaturitiesandredemptionsoffixedmaturities">Model!$485:$485</definedName>
    <definedName name="z_1EM0XH0128_MO_CFS_proceedsfromrepaymentsofmortgageloans">Model!$486:$486</definedName>
    <definedName name="z_1EM0XH0128_MO_CFS_Proceedsfromsalesandsettlementsofequityindexcalloptionsandotherinvestments">Model!$489:$489</definedName>
    <definedName name="z_1EM0XH0128_MO_CFS_proceedsfromsalesofbusinesses">Model!$492:$492</definedName>
    <definedName name="z_1EM0XH0128_MO_CFS_Proceedsfromsalesofequitysecurities">Model!$488:$488</definedName>
    <definedName name="z_1EM0XH0128_MO_CFS_proceedsfromsalesoffixedmaturities">Model!$487:$487</definedName>
    <definedName name="z_1EM0XH0128_MO_CFS_proceedsfromsalesofrealestate">Model!$490:$490</definedName>
    <definedName name="z_1EM0XH0128_MO_CFS_purchasesofbusinesses">Model!$484:$484</definedName>
    <definedName name="z_1EM0XH0128_MO_CFS_Purchasesofequityindexcalloptionsandotherinvestments">Model!$482:$482</definedName>
    <definedName name="z_1EM0XH0128_MO_CFS_Purchasesofequitysecurities">Model!$480:$480</definedName>
    <definedName name="z_1EM0XH0128_MO_CFS_purchasesoffixedmaturities">Model!$479:$479</definedName>
    <definedName name="z_1EM0XH0128_MO_CFS_purchasesofmortgageloans">Model!$481:$481</definedName>
    <definedName name="z_1EM0XH0128_MO_CFS_purchasesofrealestate">Model!$483:$483</definedName>
    <definedName name="z_1EM0XH0128_MO_CFS_realizedgainslossesoninvestingactivities">Model!$465:$465</definedName>
    <definedName name="z_1EM0XH0128_MO_CFS_Reductionsoflongtermdebt">Model!$507:$507</definedName>
    <definedName name="z_1EM0XH0128_MO_CFS_Reinsuranceandotherreceivables">Model!$469:$469</definedName>
    <definedName name="z_1EM0XH0128_MO_CFS_repurchasesofcommonstock">Model!$512:$512</definedName>
    <definedName name="z_1EM0XH0128_MO_CFS_Retirementsofmanagedinvestmententitiesliabilities">Model!$510:$510</definedName>
    <definedName name="z_1EM0XH0128_MO_Checks_SNA_BalanceSheetisnotRepeated">Model!$600:$600</definedName>
    <definedName name="z_1EM0XH0128_MO_Checks_SNA_CashBalancePositive">Model!$597:$597</definedName>
    <definedName name="z_1EM0XH0128_MO_Checks_SNA_CashFlowisnotRepeated">Model!$598:$598</definedName>
    <definedName name="z_1EM0XH0128_MO_Checks_SNA_CFFsubtotalFYSumofQs">Model!$607:$607</definedName>
    <definedName name="z_1EM0XH0128_MO_Checks_SNA_CFIsubtotalFYSumofQs">Model!$606:$606</definedName>
    <definedName name="z_1EM0XH0128_MO_Checks_SNA_CFOBeforeWCsubtotalFYSumofQs">Model!$604:$604</definedName>
    <definedName name="z_1EM0XH0128_MO_Checks_SNA_CFOsubtotalFYSumofQs">Model!$605:$605</definedName>
    <definedName name="z_1EM0XH0128_MO_Checks_SNA_CUPCUPinBS">Model!$593:$593</definedName>
    <definedName name="z_1EM0XH0128_MO_Checks_SNA_EndingCFEndingCumulativeCF">Model!$601:$601</definedName>
    <definedName name="z_1EM0XH0128_MO_Checks_SNA_GLRGLRinBS">Model!$594:$594</definedName>
    <definedName name="z_1EM0XH0128_MO_Checks_SNA_GUPRGUPRinBS">Model!$592:$592</definedName>
    <definedName name="z_1EM0XH0128_MO_Checks_SNA_IncomeStatementisnotRepeated">Model!$599:$599</definedName>
    <definedName name="z_1EM0XH0128_MO_Checks_SNA_LossLAELossLAEinRIS">Model!$587:$587</definedName>
    <definedName name="z_1EM0XH0128_MO_Checks_SNA_NEPNEPinRIS">Model!$586:$586</definedName>
    <definedName name="z_1EM0XH0128_MO_Checks_SNA_NetIncomeonReportedISNIonRevised">Model!$585:$585</definedName>
    <definedName name="z_1EM0XH0128_MO_Checks_SNA_NetIncomeonRevisedISNIonCFstatement">Model!$584:$584</definedName>
    <definedName name="z_1EM0XH0128_MO_Checks_SNA_NetInvestmentGainNetInvestmentGaininRIS">Model!$590:$590</definedName>
    <definedName name="z_1EM0XH0128_MO_Checks_SNA_NetInvestmentIncomeNetInvestmentIncomeinRIS">Model!$589:$589</definedName>
    <definedName name="z_1EM0XH0128_MO_Checks_SNA_NetTechnicalReserveNUPRNLR">Model!$596:$596</definedName>
    <definedName name="z_1EM0XH0128_MO_Checks_SNA_OtherOperatingExpenseOtherOperatingExpenseinRIS">Model!$588:$588</definedName>
    <definedName name="z_1EM0XH0128_MO_Checks_SNA_RISAdjustedNIFYSumofQs">Model!$603:$603</definedName>
    <definedName name="z_1EM0XH0128_MO_Checks_SNA_RISNIFYSumofQs">Model!$602:$602</definedName>
    <definedName name="z_1EM0XH0128_MO_Checks_SNA_RRRRinBS">Model!$595:$595</definedName>
    <definedName name="z_1EM0XH0128_MO_Checks_SNA_UnderwritingExpenseTotalExpense">Model!$591:$591</definedName>
    <definedName name="z_1EM0XH0128_MO_DS_DividendPerCommonShare">Model!$323:$323</definedName>
    <definedName name="z_1EM0XH0128_MO_DS_DividendsPaidtoCommonShareholders">Model!$322:$322</definedName>
    <definedName name="z_1EM0XH0128_MO_DS_PayoutRatio">Model!$325:$325</definedName>
    <definedName name="z_1EM0XH0128_MO_Header_ColumnHeader">Model!$5:$5</definedName>
    <definedName name="z_1EM0XH0128_MO_Header_CompanySubTitle">Model!$2:$2</definedName>
    <definedName name="z_1EM0XH0128_MO_Header_CompanyTitle">Model!$1:$1</definedName>
    <definedName name="z_1EM0XH0128_MO_Header_FPDays">Model!$3:$3</definedName>
    <definedName name="z_1EM0XH0128_MO_Header_QEndDate">Model!$4:$4</definedName>
    <definedName name="z_1EM0XH0128_MO_IS_Annuityandsupplementalinsuranceacquisitionexpenses">Model!$233:$233</definedName>
    <definedName name="z_1EM0XH0128_MO_IS_annuitybenefits">Model!$231:$231</definedName>
    <definedName name="z_1EM0XH0128_MO_IS_earningsbeforeincometaxes">Model!$238:$238</definedName>
    <definedName name="z_1EM0XH0128_MO_IS_expensesofmanagedinvestmententities">Model!$235:$235</definedName>
    <definedName name="z_1EM0XH0128_MO_IS_incomeofmanagedinvestmententities">Model!$225:$225</definedName>
    <definedName name="z_1EM0XH0128_MO_IS_incomeofmanagedinvestmententities_1">Model!$226:$226</definedName>
    <definedName name="z_1EM0XH0128_MO_IS_interestchargesonborrowedmoney">Model!$234:$234</definedName>
    <definedName name="z_1EM0XH0128_MO_IS_ISCheck">Model!$246:$246</definedName>
    <definedName name="z_1EM0XH0128_MO_IS_lessnetearningslossattributabletononcontrollinginterests">Model!$243:$243</definedName>
    <definedName name="z_1EM0XH0128_MO_IS_life">Model!$221:$221</definedName>
    <definedName name="z_1EM0XH0128_MO_IS_life_1">Model!$232:$232</definedName>
    <definedName name="z_1EM0XH0128_MO_IS_netearningsattributabletoshareholders">Model!$244:$244</definedName>
    <definedName name="z_1EM0XH0128_MO_IS_netearningsincludingnoncontrollinginterests">Model!$242:$242</definedName>
    <definedName name="z_1EM0XH0128_MO_IS_NetEarningslossfromContinuingOperations">Model!$240:$240</definedName>
    <definedName name="z_1EM0XH0128_MO_IS_Netearningslossfromdiscontinuedoperations">Model!$241:$241</definedName>
    <definedName name="z_1EM0XH0128_MO_IS_netinvestmentincome">Model!$222:$222</definedName>
    <definedName name="z_1EM0XH0128_MO_IS_Otherexpenses">Model!$236:$236</definedName>
    <definedName name="z_1EM0XH0128_MO_IS_Otherincome">Model!$227:$227</definedName>
    <definedName name="z_1EM0XH0128_MO_IS_PropertyandcasualtyinsuranceCommissionsandotherunderwritingexpenses">Model!$230:$230</definedName>
    <definedName name="z_1EM0XH0128_MO_IS_propertyandcasualtyinsurancelossesandlossadjustmentexpenses">Model!$229:$229</definedName>
    <definedName name="z_1EM0XH0128_MO_IS_propertyandcasualtyinsurancenetearnedpremiums">Model!$220:$220</definedName>
    <definedName name="z_1EM0XH0128_MO_IS_provisionforincometaxes">Model!$239:$239</definedName>
    <definedName name="z_1EM0XH0128_MO_IS_realizedgainsonsecurities">Model!$223:$223</definedName>
    <definedName name="z_1EM0XH0128_MO_IS_realizedgainsonsubsidiaries">Model!$224:$224</definedName>
    <definedName name="z_1EM0XH0128_MO_IS_totalcostsandexpenses">Model!$237:$237</definedName>
    <definedName name="z_1EM0XH0128_MO_IS_totalrevenues">Model!$228:$228</definedName>
    <definedName name="z_1EM0XH0128_MO_MA_AverageFXRate">Model!$387:$387</definedName>
    <definedName name="z_1EM0XH0128_MO_MA_EoPFXRate">Model!$388:$388</definedName>
    <definedName name="z_1EM0XH0128_MO_MA_StockEoP">Model!$386:$386</definedName>
    <definedName name="z_1EM0XH0128_MO_MA_StockPriceTradingCurAvg">Model!$389:$389</definedName>
    <definedName name="z_1EM0XH0128_MO_OS_AdjustedCombinedRatio">Model!$132:$132</definedName>
    <definedName name="z_1EM0XH0128_MO_OS_Annuityandsupplementalinsuranceacquisitionexpenses">Model!$213:$213</definedName>
    <definedName name="z_1EM0XH0128_MO_OS_annuitybenefits">Model!$211:$211</definedName>
    <definedName name="z_1EM0XH0128_MO_OS_CededUnearnedPremiums">Model!$137:$137</definedName>
    <definedName name="z_1EM0XH0128_MO_OS_ChangeinCededUnearnedPremiums">Model!$141:$141</definedName>
    <definedName name="z_1EM0XH0128_MO_OS_ChangeinGrossUnearnedPremiumReserves">Model!$140:$140</definedName>
    <definedName name="z_1EM0XH0128_MO_OS_ChangeinNetLossReserves">Model!$151:$151</definedName>
    <definedName name="z_1EM0XH0128_MO_OS_ChangeinNetUnearnedPremiumReserves">Model!$142:$142</definedName>
    <definedName name="z_1EM0XH0128_MO_OS_CommonstockoutstandingEoP">"Deleted"</definedName>
    <definedName name="z_1EM0XH0128_MO_OS_consensusestimatestotalcombinedratio">Model!$133:$133</definedName>
    <definedName name="z_1EM0XH0128_MO_OS_consensusestimatestotalnetearnedpremiums">Model!$42:$42</definedName>
    <definedName name="z_1EM0XH0128_MO_OS_consensusestimatestotalunderwritingincome">Model!$91:$91</definedName>
    <definedName name="z_1EM0XH0128_MO_OS_Coverpagecommonstockoutstanding">Model!$313:$313</definedName>
    <definedName name="z_1EM0XH0128_MO_OS_Dateofcoverpagesharecount">Model!$314:$314</definedName>
    <definedName name="z_1EM0XH0128_MO_OS_DebttoCapitalRatio">Model!$359:$359</definedName>
    <definedName name="z_1EM0XH0128_MO_OS_Dilutedsharecounttobasicsharecountratio">Model!$317:$317</definedName>
    <definedName name="z_1EM0XH0128_MO_OS_DilutiveShares">Model!$316:$316</definedName>
    <definedName name="z_1EM0XH0128_MO_OS_EffectiveInterestRateonDebt">Model!$366:$366</definedName>
    <definedName name="z_1EM0XH0128_MO_OS_EoPTotalDilutedCommonStockOutstanding">Model!$319:$319</definedName>
    <definedName name="z_1EM0XH0128_MO_OS_Equityindexcalloptions">Model!$163:$163</definedName>
    <definedName name="z_1EM0XH0128_MO_OS_Equityindexcalloptionsavgbalance">Model!$173:$173</definedName>
    <definedName name="z_1EM0XH0128_MO_OS_Equityindexcalloptionsavgbalancegrowth">Model!$184:$184</definedName>
    <definedName name="z_1EM0XH0128_MO_OS_Equityinearningsofpartnershipsandsimilarinvestmentsnetincome">Model!$196:$196</definedName>
    <definedName name="z_1EM0XH0128_MO_OS_Equityinearningsofpartnershipsandsimilarinvestmetnsyieldannualized">Model!$190:$190</definedName>
    <definedName name="z_1EM0XH0128_MO_OS_Equitysecuritiesavailableforsaleatfairvalue">Model!$158:$158</definedName>
    <definedName name="z_1EM0XH0128_MO_OS_Equitysecuritiesavailableforsaleatfairvalueavgbalance">Model!$168:$168</definedName>
    <definedName name="z_1EM0XH0128_MO_OS_Equitysecuritiesavailableforsaleatfairvalueavgbalancegrowth">Model!$179:$179</definedName>
    <definedName name="z_1EM0XH0128_MO_OS_Equitysecuritiesnetincome">Model!$195:$195</definedName>
    <definedName name="z_1EM0XH0128_MO_OS_Equitysecuritiestradingatfairvalue">Model!$159:$159</definedName>
    <definedName name="z_1EM0XH0128_MO_OS_Equitysecuritiestradingatfairvalueavgbalance">Model!$169:$169</definedName>
    <definedName name="z_1EM0XH0128_MO_OS_Equitysecuritiestradingatfairvalueavgbalancegrowth">Model!$180:$180</definedName>
    <definedName name="z_1EM0XH0128_MO_OS_Equitysecuritiesyieldannualized">Model!$189:$189</definedName>
    <definedName name="z_1EM0XH0128_MO_OS_EstimatedSharePriceforIssuanceBuybacks">Model!$363:$363</definedName>
    <definedName name="z_1EM0XH0128_MO_OS_expensesofmanagedinvestmententities">Model!$215:$215</definedName>
    <definedName name="z_1EM0XH0128_MO_OS_fixedmaturitiesavailableforsaleatfairvalue">Model!$156:$156</definedName>
    <definedName name="z_1EM0XH0128_MO_OS_fixedmaturitiesavailableforsaleatfairvalueavgbalance">Model!$166:$166</definedName>
    <definedName name="z_1EM0XH0128_MO_OS_fixedmaturitiesavailableforsaleatfairvalueavgbalancegrowth">Model!$177:$177</definedName>
    <definedName name="z_1EM0XH0128_MO_OS_fixedmaturitiesnetincome">Model!$194:$194</definedName>
    <definedName name="z_1EM0XH0128_MO_OS_fixedmaturitiestradingatfairvalue">Model!$157:$157</definedName>
    <definedName name="z_1EM0XH0128_MO_OS_fixedmaturitiestradingatfairvalueavgbalance">Model!$167:$167</definedName>
    <definedName name="z_1EM0XH0128_MO_OS_fixedmaturitiestradingatfairvalueavgbalancegrowth">Model!$178:$178</definedName>
    <definedName name="z_1EM0XH0128_MO_OS_fixedmaturitiesyieldannualized">Model!$188:$188</definedName>
    <definedName name="z_1EM0XH0128_MO_OS_GrossLossReserves">Model!$145:$145</definedName>
    <definedName name="z_1EM0XH0128_MO_OS_GrossUnearnedPremiumReserves">Model!$136:$136</definedName>
    <definedName name="z_1EM0XH0128_MO_OS_HoldingCootherandunallocatedotheroperatingexpense">Model!$69:$69</definedName>
    <definedName name="z_1EM0XH0128_MO_OS_HoldingCootherandunallocatedunderwritingexpense">Model!$77:$77</definedName>
    <definedName name="z_1EM0XH0128_MO_OS_HoldingCootherandunallocatedunderwritingincome">Model!$87:$87</definedName>
    <definedName name="z_1EM0XH0128_MO_OS_incomeofmanagedinvestmententitiesgainlossonchangeinfairvalueofassetsliabilities">Model!$207:$207</definedName>
    <definedName name="z_1EM0XH0128_MO_OS_incomeofmanagedinvestmententitiesinvestmentincome">Model!$206:$206</definedName>
    <definedName name="z_1EM0XH0128_MO_OS_interestchargesonborrowedmoney">Model!$214:$214</definedName>
    <definedName name="z_1EM0XH0128_MO_OS_InterestExpense">Model!$365:$365</definedName>
    <definedName name="z_1EM0XH0128_MO_OS_investmentexpenses">Model!$198:$198</definedName>
    <definedName name="z_1EM0XH0128_MO_OS_Investmentsaccountedforusingtheequitymethod">Model!$160:$160</definedName>
    <definedName name="z_1EM0XH0128_MO_OS_Investmentsaccountedforusingtheequitymethodavgbalance">Model!$170:$170</definedName>
    <definedName name="z_1EM0XH0128_MO_OS_Investmentsaccountedforusingtheequitymethodavgbalancegrowth">Model!$181:$181</definedName>
    <definedName name="z_1EM0XH0128_MO_OS_lifeaccidentandhealthbenefits">Model!$212:$212</definedName>
    <definedName name="z_1EM0XH0128_MO_OS_lifeaccidentandhealthnetearnedpremiums">Model!$204:$204</definedName>
    <definedName name="z_1EM0XH0128_MO_OS_Longtermdebt">Model!$354:$354</definedName>
    <definedName name="z_1EM0XH0128_MO_OS_LossandLAEIncurred">Model!$149:$149</definedName>
    <definedName name="z_1EM0XH0128_MO_OS_LossandLAEPaidImplied">Model!$150:$150</definedName>
    <definedName name="z_1EM0XH0128_MO_OS_LossPayoutRatio">Model!$153:$153</definedName>
    <definedName name="z_1EM0XH0128_MO_OS_mortgageloans">Model!$161:$161</definedName>
    <definedName name="z_1EM0XH0128_MO_OS_mortgageloansavgbalance">Model!$171:$171</definedName>
    <definedName name="z_1EM0XH0128_MO_OS_mortgageloansavgbalancegrowth">Model!$182:$182</definedName>
    <definedName name="z_1EM0XH0128_MO_OS_NetDebtIssuanceRepayment">Model!$361:$361</definedName>
    <definedName name="z_1EM0XH0128_MO_OS_NetInvestmentGains">Model!$201:$201</definedName>
    <definedName name="z_1EM0XH0128_MO_OS_NetInvestmentIncome">Model!$199:$199</definedName>
    <definedName name="z_1EM0XH0128_MO_OS_NetInvestmentIncomeYieldAnnualized">Model!$192:$192</definedName>
    <definedName name="z_1EM0XH0128_MO_OS_NetLossReserves">Model!$147:$147</definedName>
    <definedName name="z_1EM0XH0128_MO_OS_NetShareIssuanceBuybacks">Model!$362:$362</definedName>
    <definedName name="z_1EM0XH0128_MO_OS_NetUnearnedPremiumReserves">Model!$138:$138</definedName>
    <definedName name="z_1EM0XH0128_MO_OS_noncorereclasslossandlae">Model!$62:$62</definedName>
    <definedName name="z_1EM0XH0128_MO_OS_Noncorereclassotheroperatingexpense">Model!$70:$70</definedName>
    <definedName name="z_1EM0XH0128_MO_OS_noncorereclassunderwritingexpense">Model!$79:$79</definedName>
    <definedName name="z_1EM0XH0128_MO_OS_noncorereclassunderwritingincome">Model!$89:$89</definedName>
    <definedName name="z_1EM0XH0128_MO_OS_OtherchargesincludedinlossandLAE">Model!$61:$61</definedName>
    <definedName name="z_1EM0XH0128_MO_OS_Otherchargesunderwritingexpense">Model!$78:$78</definedName>
    <definedName name="z_1EM0XH0128_MO_OS_Otherchargesunderwritingincome">Model!$88:$88</definedName>
    <definedName name="z_1EM0XH0128_MO_OS_Otherexpenses">Model!$216:$216</definedName>
    <definedName name="z_1EM0XH0128_MO_OS_Otherincome">Model!$208:$208</definedName>
    <definedName name="z_1EM0XH0128_MO_OS_Othernetincome">Model!$197:$197</definedName>
    <definedName name="z_1EM0XH0128_MO_OS_Otherspecialitynetearnedpremiums">Model!$39:$39</definedName>
    <definedName name="z_1EM0XH0128_MO_OS_Otherspecialitynetwrittenpremiums">Model!$30:$30</definedName>
    <definedName name="z_1EM0XH0128_MO_OS_Otherspecialtycededwrittenpremiums">Model!$24:$24</definedName>
    <definedName name="z_1EM0XH0128_MO_OS_Otherspecialtycombinedratio">Model!$130:$130</definedName>
    <definedName name="z_1EM0XH0128_MO_OS_Otherspecialtygrosswrittenpremiums">Model!$18:$18</definedName>
    <definedName name="z_1EM0XH0128_MO_OS_OtherspecialtylossandLAE">Model!$59:$59</definedName>
    <definedName name="z_1EM0XH0128_MO_OS_OtherspecialtylossandLAEratio">Model!$120:$120</definedName>
    <definedName name="z_1EM0XH0128_MO_OS_Otherspecialtyotheroperatingexpense">Model!$67:$67</definedName>
    <definedName name="z_1EM0XH0128_MO_OS_Otherspecialtyotheroperatingexpenseratio">Model!$125:$125</definedName>
    <definedName name="z_1EM0XH0128_MO_OS_Otherspecialtyunderwritingexpense">Model!$75:$75</definedName>
    <definedName name="z_1EM0XH0128_MO_OS_Otherspecialtyunderwritingincome">Model!$85:$85</definedName>
    <definedName name="z_1EM0XH0128_MO_OS_Otherspecialtywrittenpremiumsearnedratio">Model!$102:$102</definedName>
    <definedName name="z_1EM0XH0128_MO_OS_Otheryieldannualized">Model!$191:$191</definedName>
    <definedName name="z_1EM0XH0128_MO_OS_PercentageofTotalWrittenPremiumsEarned">Model!$103:$103</definedName>
    <definedName name="z_1EM0XH0128_MO_OS_policyloans">Model!$162:$162</definedName>
    <definedName name="z_1EM0XH0128_MO_OS_policyloansavgbalance">Model!$172:$172</definedName>
    <definedName name="z_1EM0XH0128_MO_OS_policyloansavgbalancegrowth">Model!$183:$183</definedName>
    <definedName name="z_1EM0XH0128_MO_OS_propertyandcasualtysegmentcededwrittenpremiums">Model!$25:$25</definedName>
    <definedName name="z_1EM0XH0128_MO_OS_propertyandcasualtysegmentgrosswrittenpremiums">Model!$19:$19</definedName>
    <definedName name="z_1EM0XH0128_MO_OS_propertyandcasualtysegmentlossandlae">Model!$60:$60</definedName>
    <definedName name="z_1EM0XH0128_MO_OS_propertyandcasualtysegmentnetearnedpremiums">Model!$40:$40</definedName>
    <definedName name="z_1EM0XH0128_MO_OS_propertyandcasualtysegmentnetwrittenpremiums">Model!$31:$31</definedName>
    <definedName name="z_1EM0XH0128_MO_OS_Propertyandcasualtysegmentotheroperatingexpense">Model!$68:$68</definedName>
    <definedName name="z_1EM0XH0128_MO_OS_propertyandcasualtysegmentunderwritingexpense">Model!$76:$76</definedName>
    <definedName name="z_1EM0XH0128_MO_OS_propertyandcasualtysegmentunderwritingincome">Model!$86:$86</definedName>
    <definedName name="z_1EM0XH0128_MO_OS_propertyandtransportationcededwrittenpremiums">Model!$21:$21</definedName>
    <definedName name="z_1EM0XH0128_MO_OS_propertyandtransportationcombinedratio">Model!$127:$127</definedName>
    <definedName name="z_1EM0XH0128_MO_OS_propertyandtransportationgrosswrittenpremiums">Model!$15:$15</definedName>
    <definedName name="z_1EM0XH0128_MO_OS_propertyandtransportationgrosswrittenpremiumsgrowth">Model!$7:$7</definedName>
    <definedName name="z_1EM0XH0128_MO_OS_propertyandtransportationlossandlae">Model!$48:$48</definedName>
    <definedName name="z_1EM0XH0128_MO_OS_PropertyandtransportationlossandLAEcatastrophelosses">Model!$45:$45</definedName>
    <definedName name="z_1EM0XH0128_MO_OS_PropertyandtransportationlossandLAEcatastrophelossesratio">Model!$106:$106</definedName>
    <definedName name="z_1EM0XH0128_MO_OS_PropertyandtransportationlossandLAEexclcatastropheandprioryeardevelopment">Model!$44:$44</definedName>
    <definedName name="z_1EM0XH0128_MO_OS_PropertyandtransportationlossandLAEexclcatastropheandprioryeardevelopmentratio">Model!$105:$105</definedName>
    <definedName name="z_1EM0XH0128_MO_OS_PropertyandtransportationlossandLAEexclprioryeardevelopment">Model!$46:$46</definedName>
    <definedName name="z_1EM0XH0128_MO_OS_PropertyandtransportationlossandLAEexclprioryeardevelopmentratio">Model!$107:$107</definedName>
    <definedName name="z_1EM0XH0128_MO_OS_PropertyandtransportationlossandLAEprioryeardevelopment">Model!$47:$47</definedName>
    <definedName name="z_1EM0XH0128_MO_OS_PropertyandtransportationlossandLAEprioryeardevelopmentratio">Model!$108:$108</definedName>
    <definedName name="z_1EM0XH0128_MO_OS_propertyandtransportationlossandlaeratio">Model!$109:$109</definedName>
    <definedName name="z_1EM0XH0128_MO_OS_propertyandtransportationnetearnedpremiums">Model!$36:$36</definedName>
    <definedName name="z_1EM0XH0128_MO_OS_propertyandtransportationnetretentionratio">Model!$94:$94</definedName>
    <definedName name="z_1EM0XH0128_MO_OS_propertyandtransportationnetwrittenpremiums">Model!$27:$27</definedName>
    <definedName name="z_1EM0XH0128_MO_OS_Propertyandtransportationotheroperatingexpense">Model!$64:$64</definedName>
    <definedName name="z_1EM0XH0128_MO_OS_Propertyandtransportationotheroperatingexpenseratio">Model!$122:$122</definedName>
    <definedName name="z_1EM0XH0128_MO_OS_propertyandtransportationunderwritingexpense">Model!$72:$72</definedName>
    <definedName name="z_1EM0XH0128_MO_OS_propertyandtransportationunderwritingincome">Model!$82:$82</definedName>
    <definedName name="z_1EM0XH0128_MO_OS_propertyandtransportationwrittenpremiumsearnedratio">Model!$99:$99</definedName>
    <definedName name="z_1EM0XH0128_MO_OS_QQbasicshareexpansionEoP">Model!$310:$310</definedName>
    <definedName name="z_1EM0XH0128_MO_OS_QQbasicshareexpansionfromdilutivesecurities">Model!$306:$306</definedName>
    <definedName name="z_1EM0XH0128_MO_OS_QQbasicshareexpansionfromshareissuancebuyback">Model!$308:$308</definedName>
    <definedName name="z_1EM0XH0128_MO_OS_Realestateandotherinvestments">Model!$164:$164</definedName>
    <definedName name="z_1EM0XH0128_MO_OS_Realestateandotherinvestmentsavgbalance">Model!$174:$174</definedName>
    <definedName name="z_1EM0XH0128_MO_OS_Realestateandotherinvestmentsavgbalancegrowth">Model!$185:$185</definedName>
    <definedName name="z_1EM0XH0128_MO_OS_realizedgainsonsubsidiaries">Model!$205:$205</definedName>
    <definedName name="z_1EM0XH0128_MO_OS_ReinsuranceRecoverable">Model!$146:$146</definedName>
    <definedName name="z_1EM0XH0128_MO_OS_Shorttermdebt">Model!$353:$353</definedName>
    <definedName name="z_1EM0XH0128_MO_OS_specialtycasualtycededwrittenpremiums">Model!$22:$22</definedName>
    <definedName name="z_1EM0XH0128_MO_OS_specialtycasualtycombinedratio">Model!$128:$128</definedName>
    <definedName name="z_1EM0XH0128_MO_OS_specialtycasualtygrosswrittenpremiums">Model!$16:$16</definedName>
    <definedName name="z_1EM0XH0128_MO_OS_specialtycasualtygrosswrittenpremiumsgrowth">Model!$8:$8</definedName>
    <definedName name="z_1EM0XH0128_MO_OS_specialtycasualtylossandlae">Model!$53:$53</definedName>
    <definedName name="z_1EM0XH0128_MO_OS_SpecialtycasualtylossandLAEcatastrophelosses">Model!$50:$50</definedName>
    <definedName name="z_1EM0XH0128_MO_OS_SpecialtycasualtylossandLAEcatastrophelossesratio">Model!$111:$111</definedName>
    <definedName name="z_1EM0XH0128_MO_OS_SpecialtycasualtylossandLAEexclcatastropheandprioryeardevelopment">Model!$49:$49</definedName>
    <definedName name="z_1EM0XH0128_MO_OS_SpecialtycasualtylossandLAEexclcatastropheandprioryeardevelopmentratio">Model!$110:$110</definedName>
    <definedName name="z_1EM0XH0128_MO_OS_SpecialtycasualtylossandLAEexclprioryeardevelopment">Model!$51:$51</definedName>
    <definedName name="z_1EM0XH0128_MO_OS_SpecialtycasualtylossandLAEexclprioryeardevelopmentratio">Model!$112:$112</definedName>
    <definedName name="z_1EM0XH0128_MO_OS_SpecialtycasualtylossandLAEprioryeardevelopment">Model!$52:$52</definedName>
    <definedName name="z_1EM0XH0128_MO_OS_SpecialtycasualtylossandLAEprioryeardevelopmentratio">Model!$113:$113</definedName>
    <definedName name="z_1EM0XH0128_MO_OS_specialtycasualtylossandlaeratio">Model!$114:$114</definedName>
    <definedName name="z_1EM0XH0128_MO_OS_specialtycasualtynetearnedpremiums">Model!$37:$37</definedName>
    <definedName name="z_1EM0XH0128_MO_OS_specialtycasualtynetretentionratio">Model!$95:$95</definedName>
    <definedName name="z_1EM0XH0128_MO_OS_specialtycasualtynetwrittenpremiums">Model!$28:$28</definedName>
    <definedName name="z_1EM0XH0128_MO_OS_Specialtycasualtyotheroperatingexpense">Model!$65:$65</definedName>
    <definedName name="z_1EM0XH0128_MO_OS_Specialtycasualtyotheroperatingexpenseratio">Model!$123:$123</definedName>
    <definedName name="z_1EM0XH0128_MO_OS_specialtycasualtyunderwritingexpense">Model!$73:$73</definedName>
    <definedName name="z_1EM0XH0128_MO_OS_specialtycasualtyunderwritingincome">Model!$83:$83</definedName>
    <definedName name="z_1EM0XH0128_MO_OS_specialtycasualtywrittenpremiumsearnedratio">Model!$100:$100</definedName>
    <definedName name="z_1EM0XH0128_MO_OS_specialtyfinancialcededwrittenpremiums">Model!$23:$23</definedName>
    <definedName name="z_1EM0XH0128_MO_OS_specialtyfinancialcombinedratio">Model!$129:$129</definedName>
    <definedName name="z_1EM0XH0128_MO_OS_specialtyfinancialgrosswrittenpremiums">Model!$17:$17</definedName>
    <definedName name="z_1EM0XH0128_MO_OS_specialtyfinancialgrosswrittenpremiumsgrowth">Model!$9:$9</definedName>
    <definedName name="z_1EM0XH0128_MO_OS_specialtyfinanciallossandlae">Model!$58:$58</definedName>
    <definedName name="z_1EM0XH0128_MO_OS_SpecialtyfinanciallossandLAEcatastrophelosses">Model!$55:$55</definedName>
    <definedName name="z_1EM0XH0128_MO_OS_SpecialtyfinanciallossandLAEcatastrophelossesratio">Model!$116:$116</definedName>
    <definedName name="z_1EM0XH0128_MO_OS_SpecialtyfinanciallossandLAEexclcatastropheandprioryeardevelopment">Model!$54:$54</definedName>
    <definedName name="z_1EM0XH0128_MO_OS_SpecialtyfinanciallossandLAEexclcatastropheandprioryeardevelopmentratio">Model!$115:$115</definedName>
    <definedName name="z_1EM0XH0128_MO_OS_SpecialtyfinanciallossandLAEexclprioryeardevelopment">Model!$56:$56</definedName>
    <definedName name="z_1EM0XH0128_MO_OS_SpecialtyfinanciallossandLAEexclprioryeardevelopmentratio">Model!$117:$117</definedName>
    <definedName name="z_1EM0XH0128_MO_OS_SpecialtyfinanciallossandLAEprioryeardevelopment">Model!$57:$57</definedName>
    <definedName name="z_1EM0XH0128_MO_OS_SpecialtyfinanciallossandLAEprioryeardevelopmentratio">Model!$118:$118</definedName>
    <definedName name="z_1EM0XH0128_MO_OS_specialtyfinanciallossandlaeratio">Model!$119:$119</definedName>
    <definedName name="z_1EM0XH0128_MO_OS_specialtyfinancialnetearnedpremiums">Model!$38:$38</definedName>
    <definedName name="z_1EM0XH0128_MO_OS_specialtyfinancialnetretentionratio">Model!$96:$96</definedName>
    <definedName name="z_1EM0XH0128_MO_OS_specialtyfinancialnetwrittenpremiums">Model!$29:$29</definedName>
    <definedName name="z_1EM0XH0128_MO_OS_Specialtyfinancialotheroperatingexpense">Model!$66:$66</definedName>
    <definedName name="z_1EM0XH0128_MO_OS_Specialtyfinancialotheroperatingexpenseratio">Model!$124:$124</definedName>
    <definedName name="z_1EM0XH0128_MO_OS_specialtyfinancialunderwritingexpense">Model!$74:$74</definedName>
    <definedName name="z_1EM0XH0128_MO_OS_specialtyfinancialunderwritingincome">Model!$84:$84</definedName>
    <definedName name="z_1EM0XH0128_MO_OS_specialtyfinancialwrittenpremiumsearnedratio">Model!$101:$101</definedName>
    <definedName name="z_1EM0XH0128_MO_OS_TotalCapitalization">Model!$357:$357</definedName>
    <definedName name="z_1EM0XH0128_MO_OS_TotalCededWrittenPremiums">Model!$26:$26</definedName>
    <definedName name="z_1EM0XH0128_MO_OS_TotalCededWrittenPremiums_1">Model!$35:$35</definedName>
    <definedName name="z_1EM0XH0128_MO_OS_TotalCombinedRatio">Model!$131:$131</definedName>
    <definedName name="z_1EM0XH0128_MO_OS_TotalDebt">Model!$355:$355</definedName>
    <definedName name="z_1EM0XH0128_MO_OS_TotalGrossWrittenPremiums">Model!$20:$20</definedName>
    <definedName name="z_1EM0XH0128_MO_OS_TotalGrossWrittenPremiums_1">Model!$34:$34</definedName>
    <definedName name="z_1EM0XH0128_MO_OS_TotalGrossWrittenPremiumsGrowth">Model!$10:$10</definedName>
    <definedName name="z_1EM0XH0128_MO_OS_totalinvestments">Model!$165:$165</definedName>
    <definedName name="z_1EM0XH0128_MO_OS_TotalInvestmentsAvgBalance">Model!$175:$175</definedName>
    <definedName name="z_1EM0XH0128_MO_OS_TotalInvestmentsAvgBalanceGrowth">Model!$186:$186</definedName>
    <definedName name="z_1EM0XH0128_MO_OS_TotalLossandLAE">Model!$63:$63</definedName>
    <definedName name="z_1EM0XH0128_MO_OS_TotalLossandLAERatio">Model!$121:$121</definedName>
    <definedName name="z_1EM0XH0128_MO_OS_TotalNetEarnedPremiums">Model!$41:$41</definedName>
    <definedName name="z_1EM0XH0128_MO_OS_TotalNetEarnedPremiumsGrowth">Model!$11:$11</definedName>
    <definedName name="z_1EM0XH0128_MO_OS_TotalNetRetentionRatio">Model!$97:$97</definedName>
    <definedName name="z_1EM0XH0128_MO_OS_TotalNetWrittenPremiums">Model!$32:$32</definedName>
    <definedName name="z_1EM0XH0128_MO_OS_TotalOtherExpenses">Model!$217:$217</definedName>
    <definedName name="z_1EM0XH0128_MO_OS_TotalOtherIncome">Model!$209:$209</definedName>
    <definedName name="z_1EM0XH0128_MO_OS_TotalOtherOperatingExpense">Model!$71:$71</definedName>
    <definedName name="z_1EM0XH0128_MO_OS_TotalOtherOperatingExpenseRatio">Model!$126:$126</definedName>
    <definedName name="z_1EM0XH0128_MO_OS_TotalShareholdersEquity">Model!$356:$356</definedName>
    <definedName name="z_1EM0XH0128_MO_OS_TotalUnderwritingExpense">Model!$80:$80</definedName>
    <definedName name="z_1EM0XH0128_MO_OS_TotalUnderwritingIncome">Model!$90:$90</definedName>
    <definedName name="z_1EM0XH0128_MO_OS_TotalUnderwritingIncomeGrowth">Model!$12:$12</definedName>
    <definedName name="z_1EM0XH0128_MO_OS_YYbasicshareexpansionEoP">Model!$311:$311</definedName>
    <definedName name="z_1EM0XH0128_MO_OS_YYbasicshareexpansionfromdilutivesecurities">Model!$307:$307</definedName>
    <definedName name="z_1EM0XH0128_MO_OS_YYbasicshareexpansionfromshareissuancebuyback">Model!$309:$309</definedName>
    <definedName name="z_1EM0XH0128_MO_RIS_AdjustedEarningsPerShareWAD">Model!$297:$297</definedName>
    <definedName name="z_1EM0XH0128_MO_RIS_AdjustedNetIncome">Model!$290:$290</definedName>
    <definedName name="z_1EM0XH0128_MO_RIS_AdjustedSharesOutstandingWAD">Model!$302:$302</definedName>
    <definedName name="z_1EM0XH0128_MO_RIS_AdjustmentsforConvertibleSecurities">Model!$286:$286</definedName>
    <definedName name="z_1EM0XH0128_MO_RIS_consensusestimatesadjustedearningspersharewad">Model!$298:$298</definedName>
    <definedName name="z_1EM0XH0128_MO_RIS_consensusestimatesebt">Model!$276:$276</definedName>
    <definedName name="z_1EM0XH0128_MO_RIS_consensusestimatesnetrevenue">Model!$268:$268</definedName>
    <definedName name="z_1EM0XH0128_MO_RIS_CurrentTax">Model!$278:$278</definedName>
    <definedName name="z_1EM0XH0128_MO_RIS_CurrentTaxRate">Model!$292:$292</definedName>
    <definedName name="z_1EM0XH0128_MO_RIS_DeferredTax">Model!$279:$279</definedName>
    <definedName name="z_1EM0XH0128_MO_RIS_DeferredTaxRate">Model!$293:$293</definedName>
    <definedName name="z_1EM0XH0128_MO_RIS_DilutedNetIncometoCommonShareholders">Model!$287:$287</definedName>
    <definedName name="z_1EM0XH0128_MO_RIS_DiscontinuedOperations">Model!$282:$282</definedName>
    <definedName name="z_1EM0XH0128_MO_RIS_EarningsfromEquityInvestments">Model!$281:$281</definedName>
    <definedName name="z_1EM0XH0128_MO_RIS_EarningsPerShareWAB">Model!$295:$295</definedName>
    <definedName name="z_1EM0XH0128_MO_RIS_EarningsPerShareWAD">Model!$296:$296</definedName>
    <definedName name="z_1EM0XH0128_MO_RIS_EarningstoPreferredandOtherSecurities">Model!$284:$284</definedName>
    <definedName name="z_1EM0XH0128_MO_RIS_EBT">Model!$275:$275</definedName>
    <definedName name="z_1EM0XH0128_MO_RIS_InterestExpense">Model!$272:$272</definedName>
    <definedName name="z_1EM0XH0128_MO_RIS_LossandLAE">Model!$270:$270</definedName>
    <definedName name="z_1EM0XH0128_MO_RIS_NetEarnedPremiums">Model!$263:$263</definedName>
    <definedName name="z_1EM0XH0128_MO_RIS_NetIncomefromContinuedOperation">Model!$280:$280</definedName>
    <definedName name="z_1EM0XH0128_MO_RIS_NetIncometoCommonShareholders">Model!$285:$285</definedName>
    <definedName name="z_1EM0XH0128_MO_RIS_NetIncometoNCI">Model!$283:$283</definedName>
    <definedName name="z_1EM0XH0128_MO_RIS_NetInvestmentGains">Model!$265:$265</definedName>
    <definedName name="z_1EM0XH0128_MO_RIS_NetInvestmentIncome">Model!$264:$264</definedName>
    <definedName name="z_1EM0XH0128_MO_RIS_NetRevenue">Model!$267:$267</definedName>
    <definedName name="z_1EM0XH0128_MO_RIS_NonGAAPAdjustments">Model!$288:$288</definedName>
    <definedName name="z_1EM0XH0128_MO_RIS_NonGAAPAdjustmentsforDilutiveSecurities">Model!$289:$289</definedName>
    <definedName name="z_1EM0XH0128_MO_RIS_OnetimeItems">Model!$274:$274</definedName>
    <definedName name="z_1EM0XH0128_MO_RIS_OtherIncome">Model!$266:$266</definedName>
    <definedName name="z_1EM0XH0128_MO_RIS_OtherItems">Model!$273:$273</definedName>
    <definedName name="z_1EM0XH0128_MO_RIS_OtherOperatingExpense">Model!$271:$271</definedName>
    <definedName name="z_1EM0XH0128_MO_RIS_SharesOutstandingEoPB">Model!$305:$305</definedName>
    <definedName name="z_1EM0XH0128_MO_RIS_SharesOutstandingWAB">Model!$300:$300</definedName>
    <definedName name="z_1EM0XH0128_MO_RIS_SharesOutstandingWAD">Model!$301:$301</definedName>
    <definedName name="z_1EM0XH0128_MO_Section_AN_AdjustedNumbers">Model!$248:$248</definedName>
    <definedName name="z_1EM0XH0128_MO_Section_BS_BalanceSheet">Model!$529:$529</definedName>
    <definedName name="z_1EM0XH0128_MO_Section_BSS_BalanceSheetSummary">Model!$327:$327</definedName>
    <definedName name="z_1EM0XH0128_MO_Section_CCFS_CumulativeCashFlowStatement">Model!$391:$391</definedName>
    <definedName name="z_1EM0XH0128_MO_Section_CFS_CashFlowStatement">Model!$459:$459</definedName>
    <definedName name="z_1EM0XH0128_MO_Section_DS_DividendSummary">Model!$321:$321</definedName>
    <definedName name="z_1EM0XH0128_MO_Section_GA_GrowthAnalysis">Model!$6:$6</definedName>
    <definedName name="z_1EM0XH0128_MO_Section_IS_IncomeStatement">Model!$219:$219</definedName>
    <definedName name="z_1EM0XH0128_MO_Section_MC_ModelChecks">Model!$583:$583</definedName>
    <definedName name="z_1EM0XH0128_MO_Section_OS_CapitalResources">Model!$352:$352</definedName>
    <definedName name="z_1EM0XH0128_MO_Section_OS_II">Model!$155:$155</definedName>
    <definedName name="z_1EM0XH0128_MO_Section_OS_LR">Model!$144:$144</definedName>
    <definedName name="z_1EM0XH0128_MO_Section_OS_OI">Model!$203:$203</definedName>
    <definedName name="z_1EM0XH0128_MO_Section_OS_ShareCountAnalysis">Model!$304:$304</definedName>
    <definedName name="z_1EM0XH0128_MO_Section_OS_SIC">Model!$368:$368</definedName>
    <definedName name="z_1EM0XH0128_MO_Section_OS_UI">Model!$14:$14</definedName>
    <definedName name="z_1EM0XH0128_MO_Section_OS_UPR">Model!$135:$135</definedName>
    <definedName name="z_1EM0XH0128_MO_Section_OS_UR">Model!$93:$93</definedName>
    <definedName name="z_1EM0XH0128_MO_Section_RIS_RevisedIncomeStatement">Model!$262:$262</definedName>
    <definedName name="z_1EM0XH0128_MO_Section_SNA_Canalyst">Model!$717:$717</definedName>
    <definedName name="z_1EM0XH0128_MO_Section_TB_Tables">Model!$609:$609</definedName>
    <definedName name="z_1EM0XH0128_MO_Section_VA_Valuation">Model!$376:$376</definedName>
    <definedName name="z_1EM0XH0128_MO_Unstructured_SNA_AFGN">Model!$616:$616</definedName>
    <definedName name="z_1EM0XH0128_MO_Unstructured_SNA_AFGUS">Model!$613:$613</definedName>
    <definedName name="z_1EM0XH0128_MO_Unstructured_SNA_AFGUS_1">Model!$615:$615</definedName>
    <definedName name="z_1EM0XH0128_MO_Unstructured_SNA_AFGUS_2">Model!$612:$612</definedName>
    <definedName name="z_1EM0XH0128_MO_Unstructured_SNA_AnnualGuidanceTable">Model!$644:$644</definedName>
    <definedName name="z_1EM0XH0128_MO_Unstructured_SNA_ApplicablePeriod">Model!$641:$641</definedName>
    <definedName name="z_1EM0XH0128_MO_Unstructured_SNA_ApplicablePeriod_1">Model!$647:$647</definedName>
    <definedName name="z_1EM0XH0128_MO_Unstructured_SNA_ApplyTradeCurrencyScaling">Model!$704:$704</definedName>
    <definedName name="z_1EM0XH0128_MO_Unstructured_SNA_Avg">Model!$621:$621</definedName>
    <definedName name="z_1EM0XH0128_MO_Unstructured_SNA_Bloomberg">Model!$668:$668</definedName>
    <definedName name="z_1EM0XH0128_MO_Unstructured_SNA_Bloomberg_1">Model!$675:$675</definedName>
    <definedName name="z_1EM0XH0128_MO_Unstructured_SNA_Bloomberg_2">Model!$682:$682</definedName>
    <definedName name="z_1EM0XH0128_MO_Unstructured_SNA_Bloomberg_3">Model!$689:$689</definedName>
    <definedName name="z_1EM0XH0128_MO_Unstructured_SNA_BookValueperCommonShare">Model!$628:$628</definedName>
    <definedName name="z_1EM0XH0128_MO_Unstructured_SNA_CapitalIQ">Model!$669:$669</definedName>
    <definedName name="z_1EM0XH0128_MO_Unstructured_SNA_CapitalIQ_1">Model!$676:$676</definedName>
    <definedName name="z_1EM0XH0128_MO_Unstructured_SNA_CapitalIQ_2">Model!$683:$683</definedName>
    <definedName name="z_1EM0XH0128_MO_Unstructured_SNA_CapitalIQ_3">Model!$690:$690</definedName>
    <definedName name="z_1EM0XH0128_MO_Unstructured_SNA_ConsensusEstimatesAdjustedCombinedRatio">Model!$655:$655</definedName>
    <definedName name="z_1EM0XH0128_MO_Unstructured_SNA_ConsensusEstimatesBookValueperCommonShare">Model!$659:$659</definedName>
    <definedName name="z_1EM0XH0128_MO_Unstructured_SNA_ConsensusEstimatesCoreNetOperatingEarningsPerShareWAD">Model!$658:$658</definedName>
    <definedName name="z_1EM0XH0128_MO_Unstructured_SNA_ConsensusEstimatesEBT">Model!$657:$657</definedName>
    <definedName name="z_1EM0XH0128_MO_Unstructured_SNA_ConsensusEstimatesNetRevenue">Model!$656:$656</definedName>
    <definedName name="z_1EM0XH0128_MO_Unstructured_SNA_ConsensusEstimatesReturnonAverageCommonEquity">Model!$660:$660</definedName>
    <definedName name="z_1EM0XH0128_MO_Unstructured_SNA_ConsensusEstimatesTotalCombinedRatio">"Deleted"</definedName>
    <definedName name="z_1EM0XH0128_MO_Unstructured_SNA_ConsensusEstimatesTotalNetEarnedPremiums">Model!$653:$653</definedName>
    <definedName name="z_1EM0XH0128_MO_Unstructured_SNA_ConsensusEstimatesTotalUnderwritingIncome">Model!$654:$654</definedName>
    <definedName name="z_1EM0XH0128_MO_Unstructured_SNA_ConsensusEstimateTable">Model!$650:$650</definedName>
    <definedName name="z_1EM0XH0128_MO_Unstructured_SNA_CoreNetOperatingEarningsPerShareWAD">Model!$626:$626</definedName>
    <definedName name="z_1EM0XH0128_MO_Unstructured_SNA_CurrentFiscalYear">Model!$712:$712</definedName>
    <definedName name="z_1EM0XH0128_MO_Unstructured_SNA_DataSourceIndex">Model!$715:$715</definedName>
    <definedName name="z_1EM0XH0128_MO_Unstructured_SNA_EoP">Model!$622:$622</definedName>
    <definedName name="z_1EM0XH0128_MO_Unstructured_SNA_FactSet">Model!$670:$670</definedName>
    <definedName name="z_1EM0XH0128_MO_Unstructured_SNA_FactSet_1">Model!$677:$677</definedName>
    <definedName name="z_1EM0XH0128_MO_Unstructured_SNA_FactSet_2">Model!$684:$684</definedName>
    <definedName name="z_1EM0XH0128_MO_Unstructured_SNA_FactSet_3">Model!$691:$691</definedName>
    <definedName name="z_1EM0XH0128_MO_Unstructured_SNA_FirstForecastFiscalYear">Model!$713:$713</definedName>
    <definedName name="z_1EM0XH0128_MO_Unstructured_SNA_FiscalPeriodStartDate">Model!$664:$664</definedName>
    <definedName name="z_1EM0XH0128_MO_Unstructured_SNA_FXAverageRealTimeOffSource">Model!$687:$687</definedName>
    <definedName name="z_1EM0XH0128_MO_Unstructured_SNA_FXEoP">Model!$696:$696</definedName>
    <definedName name="z_1EM0XH0128_MO_Unstructured_SNA_FYorFQ">Model!$651:$651</definedName>
    <definedName name="z_1EM0XH0128_MO_Unstructured_SNA_GeneralTable">Model!$699:$699</definedName>
    <definedName name="z_1EM0XH0128_MO_Unstructured_SNA_High">Model!$619:$619</definedName>
    <definedName name="z_1EM0XH0128_MO_Unstructured_SNA_IsHistoricalPeriod">Model!$665:$665</definedName>
    <definedName name="z_1EM0XH0128_MO_Unstructured_SNA_IsLatest">Model!$646:$646</definedName>
    <definedName name="z_1EM0XH0128_MO_Unstructured_SNA_KeyOutputs">Model!$624:$624</definedName>
    <definedName name="z_1EM0XH0128_MO_Unstructured_SNA_KPICount">Model!$714:$714</definedName>
    <definedName name="z_1EM0XH0128_MO_Unstructured_SNA_KPIData">Model!$633:$633</definedName>
    <definedName name="z_1EM0XH0128_MO_Unstructured_SNA_LastPrice">Model!$700:$700</definedName>
    <definedName name="z_1EM0XH0128_MO_Unstructured_SNA_LastPriceDate">Model!$701:$701</definedName>
    <definedName name="z_1EM0XH0128_MO_Unstructured_SNA_LastPriceFormula">Model!$703:$703</definedName>
    <definedName name="z_1EM0XH0128_MO_Unstructured_SNA_LastWorkingDayInPeriod">Model!$694:$694</definedName>
    <definedName name="z_1EM0XH0128_MO_Unstructured_SNA_Low">Model!$620:$620</definedName>
    <definedName name="z_1EM0XH0128_MO_Unstructured_SNA_ModelSheetCurrencyHardcoded">Model!$707:$707</definedName>
    <definedName name="z_1EM0XH0128_MO_Unstructured_SNA_MORISEPSWADAdj">Model!$636:$636</definedName>
    <definedName name="z_1EM0XH0128_MO_Unstructured_SNA_MORISNINONGAAPDiluted">Model!$635:$635</definedName>
    <definedName name="z_1EM0XH0128_MO_Unstructured_SNA_MORISREV">Model!$634:$634</definedName>
    <definedName name="z_1EM0XH0128_MO_Unstructured_SNA_MostRecentFiscalPeriodMRFP">Model!$711:$711</definedName>
    <definedName name="z_1EM0XH0128_MO_Unstructured_SNA_MostRecentFX">Model!$708:$708</definedName>
    <definedName name="z_1EM0XH0128_MO_Unstructured_SNA_MostRecentFXHardcoded">Model!$709:$709</definedName>
    <definedName name="z_1EM0XH0128_MO_Unstructured_SNA_MRFPColumnNumber">Model!$710:$710</definedName>
    <definedName name="z_1EM0XH0128_MO_Unstructured_SNA_NYSEAFG">Model!$614:$614</definedName>
    <definedName name="z_1EM0XH0128_MO_Unstructured_SNA_PBAvg">Model!$630:$630</definedName>
    <definedName name="z_1EM0XH0128_MO_Unstructured_SNA_PEAvg">Model!$629:$629</definedName>
    <definedName name="z_1EM0XH0128_MO_Unstructured_SNA_Period">Model!$652:$652</definedName>
    <definedName name="z_1EM0XH0128_MO_Unstructured_SNA_QuarterlyGuidanceTable">Model!$639:$639</definedName>
    <definedName name="z_1EM0XH0128_MO_Unstructured_SNA_RealTimeOffSource">Model!$667:$667</definedName>
    <definedName name="z_1EM0XH0128_MO_Unstructured_SNA_RealTimeOffSource_1">Model!$674:$674</definedName>
    <definedName name="z_1EM0XH0128_MO_Unstructured_SNA_RealTimeOffSource_2">Model!$681:$681</definedName>
    <definedName name="z_1EM0XH0128_MO_Unstructured_SNA_RealTimeOffSource_3">Model!$688:$688</definedName>
    <definedName name="z_1EM0XH0128_MO_Unstructured_SNA_RealTimeStockPrice">Model!$702:$702</definedName>
    <definedName name="z_1EM0XH0128_MO_Unstructured_SNA_Refinitiv">Model!$671:$671</definedName>
    <definedName name="z_1EM0XH0128_MO_Unstructured_SNA_Refinitiv_1">Model!$678:$678</definedName>
    <definedName name="z_1EM0XH0128_MO_Unstructured_SNA_Refinitiv_2">Model!$685:$685</definedName>
    <definedName name="z_1EM0XH0128_MO_Unstructured_SNA_Refinitiv_3">Model!$692:$692</definedName>
    <definedName name="z_1EM0XH0128_MO_Unstructured_SNA_ReportingDate">Model!$640:$640</definedName>
    <definedName name="z_1EM0XH0128_MO_Unstructured_SNA_ReportingDate_1">Model!$645:$645</definedName>
    <definedName name="z_1EM0XH0128_MO_Unstructured_SNA_ReturnonAverageCommonEquity">Model!$627:$627</definedName>
    <definedName name="z_1EM0XH0128_MO_Unstructured_SNA_StockAverageRealTimeOffSource">Model!$680:$680</definedName>
    <definedName name="z_1EM0XH0128_MO_Unstructured_SNA_StockHighRealTimeOffSource">Model!$666:$666</definedName>
    <definedName name="z_1EM0XH0128_MO_Unstructured_SNA_StockLowRealTimeOffSource">Model!$673:$673</definedName>
    <definedName name="z_1EM0XH0128_MO_Unstructured_SNA_StockPriceEoP">Model!$695:$695</definedName>
    <definedName name="z_1EM0XH0128_MO_Unstructured_SNA_StockPriceTable">Model!$663:$663</definedName>
    <definedName name="z_1EM0XH0128_MO_Unstructured_SNA_TickerSymbol">Model!$611:$611</definedName>
    <definedName name="z_1EM0XH0128_MO_Unstructured_SNA_TotalCombinedRatio">Model!$625:$625</definedName>
    <definedName name="z_1EM0XH0128_MO_Unstructured_SNA_TradeCurrency">Model!$705:$705</definedName>
    <definedName name="z_1EM0XH0128_MO_Unstructured_SNA_TradeCurrencyHardcoded">Model!$706:$706</definedName>
    <definedName name="z_1EM0XH0128_MO_Unstructured_SNA_ValuationToggleTable">Model!$618:$618</definedName>
    <definedName name="z_1EM0XH0128_MO_VA_MarketCapAverage">Model!$378:$378</definedName>
    <definedName name="z_1EM0XH0128_MO_VA_MarketCapAvg">"Deleted"</definedName>
    <definedName name="z_1EM0XH0128_MO_VA_MarketCapHigh">"Deleted"</definedName>
    <definedName name="z_1EM0XH0128_MO_VA_MarketCapLow">"Deleted"</definedName>
    <definedName name="z_1EM0XH0128_MO_VA_PBAverage">Model!$381:$381</definedName>
    <definedName name="z_1EM0XH0128_MO_VA_PEAverage">Model!$380:$380</definedName>
    <definedName name="z_1EM0XH0128_MO_VA_StockAvg">Model!$385:$385</definedName>
    <definedName name="z_1EM0XH0128_MO_VA_StockHigh">Model!$383:$383</definedName>
    <definedName name="z_1EM0XH0128_MO_VA_StockLow">Model!$384:$384</definedName>
    <definedName name="z_1EM0XH0128_MO_VA_StockPriceAverage">Model!$377:$377</definedName>
    <definedName name="AA.ModelColorScheme">"Classic"</definedName>
    <definedName name="AA.ColorizerVersion">"2.0.4.0"</definedName>
  </definedNames>
  <calcPr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9" l="1"/>
</calcChain>
</file>

<file path=xl/comments2.xml><?xml version="1.0" encoding="utf-8"?>
<comments xmlns="http://schemas.openxmlformats.org/spreadsheetml/2006/main" xmlns:mc="http://schemas.openxmlformats.org/markup-compatibility/2006" xmlns:xr="http://schemas.microsoft.com/office/spreadsheetml/2014/revision" mc:Ignorable="xr">
  <authors>
    <author>Canalyst (HN)</author>
    <author>Tegus (RF)</author>
    <author>Tegus (AkS)</author>
    <author>Tegus (KKR)</author>
  </authors>
  <commentList>
    <comment ref="AL2" authorId="0" shapeId="0" xr:uid="{00000000-0006-0000-0100-000001000000}">
      <text>
        <r>
          <rPr>
            <b/>
            <sz val="9"/>
            <rFont val="Tahoma"/>
            <family val="2"/>
          </rPr>
          <t>Tegus (SL):</t>
        </r>
        <r>
          <rPr>
            <sz val="9"/>
            <rFont val="Tahoma"/>
            <family val="2"/>
          </rPr>
          <t xml:space="preserve">
Restated. In Q1-2021, Company announced it is divesting its Annuity business and is reporting results of divestee as discontinued operations going forward and in prior periods. The IS, adjusted numbers, and investment income were restated.</t>
        </r>
      </text>
    </comment>
    <comment ref="AM2" authorId="0" shapeId="0" xr:uid="{00000000-0006-0000-0100-000002000000}">
      <text>
        <r>
          <rPr>
            <b/>
            <sz val="9"/>
            <rFont val="Tahoma"/>
            <family val="2"/>
          </rPr>
          <t>Tegus (SL):</t>
        </r>
        <r>
          <rPr>
            <sz val="9"/>
            <rFont val="Tahoma"/>
            <family val="2"/>
          </rPr>
          <t xml:space="preserve">
Restated. In Q1-2021, Company announced it is divesting its Annuity business and is reporting results of divestee as discontinued operations going forward and in prior periods. The IS, adjusted numbers, and investment income were restated.</t>
        </r>
      </text>
    </comment>
    <comment ref="AN2" authorId="0" shapeId="0" xr:uid="{00000000-0006-0000-0100-000003000000}">
      <text>
        <r>
          <rPr>
            <b/>
            <sz val="9"/>
            <rFont val="Tahoma"/>
            <family val="2"/>
          </rPr>
          <t>Tegus (SL):</t>
        </r>
        <r>
          <rPr>
            <sz val="9"/>
            <rFont val="Tahoma"/>
            <family val="2"/>
          </rPr>
          <t xml:space="preserve">
Restated. In Q1-2021, Company announced it is divesting its Annuity business and is reporting results of divestee as discontinued operations going forward and in prior periods. The IS, adjusted numbers, and investment income were restated.</t>
        </r>
      </text>
    </comment>
    <comment ref="AO2" authorId="0" shapeId="0" xr:uid="{00000000-0006-0000-0100-000004000000}">
      <text>
        <r>
          <rPr>
            <b/>
            <sz val="9"/>
            <rFont val="Tahoma"/>
            <family val="2"/>
          </rPr>
          <t>Tegus (SL):</t>
        </r>
        <r>
          <rPr>
            <sz val="9"/>
            <rFont val="Tahoma"/>
            <family val="2"/>
          </rPr>
          <t xml:space="preserve">
Restated. In Q1-2021, Company announced it is divesting its Annuity business and is reporting results of divestee as discontinued operations going forward and in prior periods. The IS, adjusted numbers, and investment income were restated.</t>
        </r>
      </text>
    </comment>
    <comment ref="AP2" authorId="0" shapeId="0" xr:uid="{00000000-0006-0000-0100-000005000000}">
      <text>
        <r>
          <rPr>
            <b/>
            <sz val="9"/>
            <rFont val="Tahoma"/>
            <family val="2"/>
          </rPr>
          <t>Tegus (SL):</t>
        </r>
        <r>
          <rPr>
            <sz val="9"/>
            <rFont val="Tahoma"/>
            <family val="2"/>
          </rPr>
          <t xml:space="preserve">
Restated. In Q1-2021, Company announced it is divesting its Annuity business and is reporting results of divestee as discontinued operations going forward and in prior periods. The IS, adjusted numbers, and investment income were restated.</t>
        </r>
      </text>
    </comment>
    <comment ref="AL18" authorId="0" shapeId="0" xr:uid="{00000000-0006-0000-0100-000006000000}">
      <text>
        <r>
          <rPr>
            <b/>
            <sz val="9"/>
            <rFont val="Tahoma"/>
            <family val="2"/>
          </rPr>
          <t>Tegus (ArS):</t>
        </r>
        <r>
          <rPr>
            <sz val="9"/>
            <rFont val="Tahoma"/>
            <family val="2"/>
          </rPr>
          <t xml:space="preserve">
Includes Neon exited lines</t>
        </r>
      </text>
    </comment>
    <comment ref="AM18" authorId="0" shapeId="0" xr:uid="{00000000-0006-0000-0100-000007000000}">
      <text>
        <r>
          <rPr>
            <b/>
            <sz val="9"/>
            <rFont val="Tahoma"/>
            <family val="2"/>
          </rPr>
          <t>Tegus (ML):</t>
        </r>
        <r>
          <rPr>
            <sz val="9"/>
            <rFont val="Tahoma"/>
            <family val="2"/>
          </rPr>
          <t xml:space="preserve">
Neon exited lines</t>
        </r>
      </text>
    </comment>
    <comment ref="AN18" authorId="0" shapeId="0" xr:uid="{00000000-0006-0000-0100-000008000000}">
      <text>
        <r>
          <rPr>
            <b/>
            <sz val="9"/>
            <rFont val="Tahoma"/>
            <family val="2"/>
          </rPr>
          <t>Tegus (OG):</t>
        </r>
        <r>
          <rPr>
            <sz val="9"/>
            <rFont val="Tahoma"/>
            <family val="2"/>
          </rPr>
          <t xml:space="preserve">
Neon exited lines</t>
        </r>
      </text>
    </comment>
    <comment ref="AO18" authorId="0" shapeId="0" xr:uid="{00000000-0006-0000-0100-000009000000}">
      <text>
        <r>
          <rPr>
            <b/>
            <sz val="9"/>
            <rFont val="Tahoma"/>
            <family val="2"/>
          </rPr>
          <t>Tegus (OG):</t>
        </r>
        <r>
          <rPr>
            <sz val="9"/>
            <rFont val="Tahoma"/>
            <family val="2"/>
          </rPr>
          <t xml:space="preserve">
Neon exited lines</t>
        </r>
      </text>
    </comment>
    <comment ref="AP18" authorId="0" shapeId="0" xr:uid="{00000000-0006-0000-0100-00000A000000}">
      <text>
        <r>
          <rPr>
            <b/>
            <sz val="9"/>
            <rFont val="Tahoma"/>
            <family val="2"/>
          </rPr>
          <t>Tegus (OG):</t>
        </r>
        <r>
          <rPr>
            <sz val="9"/>
            <rFont val="Tahoma"/>
            <family val="2"/>
          </rPr>
          <t xml:space="preserve">
Neon exited lines</t>
        </r>
      </text>
    </comment>
    <comment ref="AL24" authorId="0" shapeId="0" xr:uid="{00000000-0006-0000-0100-00000B000000}">
      <text>
        <r>
          <rPr>
            <b/>
            <sz val="9"/>
            <rFont val="Tahoma"/>
            <family val="2"/>
          </rPr>
          <t>Tegus (SL):</t>
        </r>
        <r>
          <rPr>
            <sz val="9"/>
            <rFont val="Tahoma"/>
            <family val="2"/>
          </rPr>
          <t xml:space="preserve">
Includes Neon exited lines</t>
        </r>
      </text>
    </comment>
    <comment ref="AM24" authorId="0" shapeId="0" xr:uid="{00000000-0006-0000-0100-00000C000000}">
      <text>
        <r>
          <rPr>
            <b/>
            <sz val="9"/>
            <rFont val="Tahoma"/>
            <family val="2"/>
          </rPr>
          <t>Tegus (SL):</t>
        </r>
        <r>
          <rPr>
            <sz val="9"/>
            <rFont val="Tahoma"/>
            <family val="2"/>
          </rPr>
          <t xml:space="preserve">
Includes Neon exited lines</t>
        </r>
      </text>
    </comment>
    <comment ref="AN24" authorId="0" shapeId="0" xr:uid="{00000000-0006-0000-0100-00000D000000}">
      <text>
        <r>
          <rPr>
            <b/>
            <sz val="9"/>
            <rFont val="Tahoma"/>
            <family val="2"/>
          </rPr>
          <t>Tegus (SL):</t>
        </r>
        <r>
          <rPr>
            <sz val="9"/>
            <rFont val="Tahoma"/>
            <family val="2"/>
          </rPr>
          <t xml:space="preserve">
Includes Neon exited lines</t>
        </r>
      </text>
    </comment>
    <comment ref="AO24" authorId="0" shapeId="0" xr:uid="{00000000-0006-0000-0100-00000E000000}">
      <text>
        <r>
          <rPr>
            <b/>
            <sz val="9"/>
            <rFont val="Tahoma"/>
            <family val="2"/>
          </rPr>
          <t>Tegus (SL):</t>
        </r>
        <r>
          <rPr>
            <sz val="9"/>
            <rFont val="Tahoma"/>
            <family val="2"/>
          </rPr>
          <t xml:space="preserve">
Includes Neon exited lines</t>
        </r>
      </text>
    </comment>
    <comment ref="AP24" authorId="0" shapeId="0" xr:uid="{00000000-0006-0000-0100-00000F000000}">
      <text>
        <r>
          <rPr>
            <b/>
            <sz val="9"/>
            <rFont val="Tahoma"/>
            <family val="2"/>
          </rPr>
          <t>Tegus (SL):</t>
        </r>
        <r>
          <rPr>
            <sz val="9"/>
            <rFont val="Tahoma"/>
            <family val="2"/>
          </rPr>
          <t xml:space="preserve">
Includes Neon exited lines</t>
        </r>
      </text>
    </comment>
    <comment ref="AL30" authorId="0" shapeId="0" xr:uid="{00000000-0006-0000-0100-000010000000}">
      <text>
        <r>
          <rPr>
            <b/>
            <sz val="9"/>
            <rFont val="Tahoma"/>
            <family val="2"/>
          </rPr>
          <t>Tegus (ArS):</t>
        </r>
        <r>
          <rPr>
            <sz val="9"/>
            <rFont val="Tahoma"/>
            <family val="2"/>
          </rPr>
          <t xml:space="preserve">
Includes Neon exited lines</t>
        </r>
      </text>
    </comment>
    <comment ref="AM30" authorId="0" shapeId="0" xr:uid="{00000000-0006-0000-0100-000011000000}">
      <text>
        <r>
          <rPr>
            <b/>
            <sz val="9"/>
            <rFont val="Tahoma"/>
            <family val="2"/>
          </rPr>
          <t>Tegus (ML):</t>
        </r>
        <r>
          <rPr>
            <sz val="9"/>
            <rFont val="Tahoma"/>
            <family val="2"/>
          </rPr>
          <t xml:space="preserve">
Includes Neon exited lines</t>
        </r>
      </text>
    </comment>
    <comment ref="AN30" authorId="0" shapeId="0" xr:uid="{00000000-0006-0000-0100-000012000000}">
      <text>
        <r>
          <rPr>
            <b/>
            <sz val="9"/>
            <rFont val="Tahoma"/>
            <family val="2"/>
          </rPr>
          <t>Tegus (OG):</t>
        </r>
        <r>
          <rPr>
            <sz val="9"/>
            <rFont val="Tahoma"/>
            <family val="2"/>
          </rPr>
          <t xml:space="preserve">
Includes Neon exited lines</t>
        </r>
      </text>
    </comment>
    <comment ref="AO30" authorId="0" shapeId="0" xr:uid="{00000000-0006-0000-0100-000013000000}">
      <text>
        <r>
          <rPr>
            <b/>
            <sz val="9"/>
            <rFont val="Tahoma"/>
            <family val="2"/>
          </rPr>
          <t>Tegus (OG):</t>
        </r>
        <r>
          <rPr>
            <sz val="9"/>
            <rFont val="Tahoma"/>
            <family val="2"/>
          </rPr>
          <t xml:space="preserve">
Includes Neon exited lines</t>
        </r>
      </text>
    </comment>
    <comment ref="AP30" authorId="0" shapeId="0" xr:uid="{00000000-0006-0000-0100-000014000000}">
      <text>
        <r>
          <rPr>
            <b/>
            <sz val="9"/>
            <rFont val="Tahoma"/>
            <family val="2"/>
          </rPr>
          <t>Tegus (OG):</t>
        </r>
        <r>
          <rPr>
            <sz val="9"/>
            <rFont val="Tahoma"/>
            <family val="2"/>
          </rPr>
          <t xml:space="preserve">
Includes Neon exited lines</t>
        </r>
      </text>
    </comment>
    <comment ref="AL39" authorId="0" shapeId="0" xr:uid="{00000000-0006-0000-0100-000015000000}">
      <text>
        <r>
          <rPr>
            <b/>
            <sz val="9"/>
            <rFont val="Tahoma"/>
            <family val="2"/>
          </rPr>
          <t>Tegus (ArS):</t>
        </r>
        <r>
          <rPr>
            <sz val="9"/>
            <rFont val="Tahoma"/>
            <family val="2"/>
          </rPr>
          <t xml:space="preserve">
Includes Neon exited lines</t>
        </r>
      </text>
    </comment>
    <comment ref="AM39" authorId="0" shapeId="0" xr:uid="{00000000-0006-0000-0100-000016000000}">
      <text>
        <r>
          <rPr>
            <b/>
            <sz val="9"/>
            <rFont val="Tahoma"/>
            <family val="2"/>
          </rPr>
          <t>Tegus (ML):</t>
        </r>
        <r>
          <rPr>
            <sz val="9"/>
            <rFont val="Tahoma"/>
            <family val="2"/>
          </rPr>
          <t xml:space="preserve">
Includes Neon exited lines</t>
        </r>
      </text>
    </comment>
    <comment ref="AN39" authorId="0" shapeId="0" xr:uid="{00000000-0006-0000-0100-000017000000}">
      <text>
        <r>
          <rPr>
            <b/>
            <sz val="9"/>
            <rFont val="Tahoma"/>
            <family val="2"/>
          </rPr>
          <t>Tegus (OG):</t>
        </r>
        <r>
          <rPr>
            <sz val="9"/>
            <rFont val="Tahoma"/>
            <family val="2"/>
          </rPr>
          <t xml:space="preserve">
Includes Neon exited lines</t>
        </r>
      </text>
    </comment>
    <comment ref="AO39" authorId="0" shapeId="0" xr:uid="{00000000-0006-0000-0100-000018000000}">
      <text>
        <r>
          <rPr>
            <b/>
            <sz val="9"/>
            <rFont val="Tahoma"/>
            <family val="2"/>
          </rPr>
          <t>Tegus (OG):</t>
        </r>
        <r>
          <rPr>
            <sz val="9"/>
            <rFont val="Tahoma"/>
            <family val="2"/>
          </rPr>
          <t xml:space="preserve">
Includes Neon exited lines</t>
        </r>
      </text>
    </comment>
    <comment ref="AP39" authorId="0" shapeId="0" xr:uid="{00000000-0006-0000-0100-000019000000}">
      <text>
        <r>
          <rPr>
            <b/>
            <sz val="9"/>
            <rFont val="Tahoma"/>
            <family val="2"/>
          </rPr>
          <t>Tegus (OG):</t>
        </r>
        <r>
          <rPr>
            <sz val="9"/>
            <rFont val="Tahoma"/>
            <family val="2"/>
          </rPr>
          <t xml:space="preserve">
Includes Neon exited lines</t>
        </r>
      </text>
    </comment>
    <comment ref="AX45" authorId="0" shapeId="0" xr:uid="{00000000-0006-0000-0100-00001A000000}">
      <text>
        <r>
          <rPr>
            <b/>
            <sz val="9"/>
            <rFont val="Tahoma"/>
            <family val="2"/>
          </rPr>
          <t>Tegus (HN):</t>
        </r>
        <r>
          <rPr>
            <sz val="9"/>
            <rFont val="Tahoma"/>
            <family val="2"/>
          </rPr>
          <t xml:space="preserve">
Includes catastrophe reinstatement premium</t>
        </r>
      </text>
    </comment>
    <comment ref="AX50" authorId="0" shapeId="0" xr:uid="{00000000-0006-0000-0100-00001B000000}">
      <text>
        <r>
          <rPr>
            <b/>
            <sz val="9"/>
            <rFont val="Tahoma"/>
            <family val="2"/>
          </rPr>
          <t>Tegus (HN):</t>
        </r>
        <r>
          <rPr>
            <sz val="9"/>
            <rFont val="Tahoma"/>
            <family val="2"/>
          </rPr>
          <t xml:space="preserve">
Includes catastrophe reinstatement premium</t>
        </r>
      </text>
    </comment>
    <comment ref="AX55" authorId="0" shapeId="0" xr:uid="{00000000-0006-0000-0100-00001C000000}">
      <text>
        <r>
          <rPr>
            <b/>
            <sz val="9"/>
            <rFont val="Tahoma"/>
            <family val="2"/>
          </rPr>
          <t>Tegus (HN):</t>
        </r>
        <r>
          <rPr>
            <sz val="9"/>
            <rFont val="Tahoma"/>
            <family val="2"/>
          </rPr>
          <t xml:space="preserve">
Includes catastrophe reinstatement premium</t>
        </r>
      </text>
    </comment>
    <comment ref="AJ59" authorId="0" shapeId="0" xr:uid="{00000000-0006-0000-0100-00001D000000}">
      <text>
        <r>
          <rPr>
            <b/>
            <sz val="9"/>
            <rFont val="Tahoma"/>
            <family val="2"/>
          </rPr>
          <t>Tegus (ML):</t>
        </r>
        <r>
          <rPr>
            <sz val="9"/>
            <rFont val="Tahoma"/>
            <family val="2"/>
          </rPr>
          <t xml:space="preserve">
Other Specialty - Underwriting Results (GAAP)</t>
        </r>
      </text>
    </comment>
    <comment ref="AM59" authorId="0" shapeId="0" xr:uid="{00000000-0006-0000-0100-00001E000000}">
      <text>
        <r>
          <rPr>
            <b/>
            <sz val="9"/>
            <rFont val="Tahoma"/>
            <family val="2"/>
          </rPr>
          <t>Tegus (ML):</t>
        </r>
        <r>
          <rPr>
            <sz val="9"/>
            <rFont val="Tahoma"/>
            <family val="2"/>
          </rPr>
          <t xml:space="preserve">
Found in Supplemental</t>
        </r>
      </text>
    </comment>
    <comment ref="AN59" authorId="0" shapeId="0" xr:uid="{00000000-0006-0000-0100-00001F000000}">
      <text>
        <r>
          <rPr>
            <b/>
            <sz val="9"/>
            <rFont val="Tahoma"/>
            <family val="2"/>
          </rPr>
          <t>Tegus (OG):</t>
        </r>
        <r>
          <rPr>
            <sz val="9"/>
            <rFont val="Tahoma"/>
            <family val="2"/>
          </rPr>
          <t xml:space="preserve">
Found in Supplemental</t>
        </r>
      </text>
    </comment>
    <comment ref="AL61" authorId="0" shapeId="0" xr:uid="{00000000-0006-0000-0100-000020000000}">
      <text>
        <r>
          <rPr>
            <b/>
            <sz val="9"/>
            <rFont val="Tahoma"/>
            <family val="2"/>
          </rPr>
          <t>Tegus (ArS):</t>
        </r>
        <r>
          <rPr>
            <sz val="9"/>
            <rFont val="Tahoma"/>
            <family val="2"/>
          </rPr>
          <t xml:space="preserve">
Includes exited lines</t>
        </r>
      </text>
    </comment>
    <comment ref="AM61" authorId="0" shapeId="0" xr:uid="{00000000-0006-0000-0100-000021000000}">
      <text>
        <r>
          <rPr>
            <b/>
            <sz val="9"/>
            <rFont val="Tahoma"/>
            <family val="2"/>
          </rPr>
          <t>Tegus (ML):</t>
        </r>
        <r>
          <rPr>
            <sz val="9"/>
            <rFont val="Tahoma"/>
            <family val="2"/>
          </rPr>
          <t xml:space="preserve">
Other core charges, included in loss and LAE &amp; Neon exited lines</t>
        </r>
      </text>
    </comment>
    <comment ref="AN61" authorId="0" shapeId="0" xr:uid="{00000000-0006-0000-0100-000022000000}">
      <text>
        <r>
          <rPr>
            <b/>
            <sz val="9"/>
            <rFont val="Tahoma"/>
            <family val="2"/>
          </rPr>
          <t>Tegus (OG):</t>
        </r>
        <r>
          <rPr>
            <sz val="9"/>
            <rFont val="Tahoma"/>
            <family val="2"/>
          </rPr>
          <t xml:space="preserve">
Neon exited lines</t>
        </r>
      </text>
    </comment>
    <comment ref="AI62" authorId="0" shapeId="0" xr:uid="{00000000-0006-0000-0100-000023000000}">
      <text>
        <r>
          <rPr>
            <b/>
            <sz val="9"/>
            <rFont val="Tahoma"/>
            <family val="2"/>
          </rPr>
          <t>Tegus (OG):</t>
        </r>
        <r>
          <rPr>
            <sz val="9"/>
            <rFont val="Tahoma"/>
            <family val="2"/>
          </rPr>
          <t xml:space="preserve">
pretax non-core special A&amp;E charges of $18 million</t>
        </r>
      </text>
    </comment>
    <comment ref="AM63" authorId="0" shapeId="0" xr:uid="{00000000-0006-0000-0100-000024000000}">
      <text>
        <r>
          <rPr>
            <b/>
            <sz val="9"/>
            <rFont val="Tahoma"/>
            <family val="2"/>
          </rPr>
          <t>Tegus (ML):</t>
        </r>
        <r>
          <rPr>
            <sz val="9"/>
            <rFont val="Tahoma"/>
            <family val="2"/>
          </rPr>
          <t xml:space="preserve">
Matches Losses and loss adjustment expenses under Segmented Statement of Earnings in FS</t>
        </r>
      </text>
    </comment>
    <comment ref="AM71" authorId="0" shapeId="0" xr:uid="{00000000-0006-0000-0100-000025000000}">
      <text>
        <r>
          <rPr>
            <b/>
            <sz val="9"/>
            <rFont val="Tahoma"/>
            <family val="2"/>
          </rPr>
          <t>Tegus (ML):</t>
        </r>
        <r>
          <rPr>
            <sz val="9"/>
            <rFont val="Tahoma"/>
            <family val="2"/>
          </rPr>
          <t xml:space="preserve">
Matches Commissions and other underwriting expenses in FS</t>
        </r>
      </text>
    </comment>
    <comment ref="BA121" authorId="0" shapeId="0" xr:uid="{00000000-0006-0000-0100-000026000000}">
      <text>
        <r>
          <rPr>
            <b/>
            <sz val="9"/>
            <rFont val="Tahoma"/>
            <family val="2"/>
          </rPr>
          <t>Tegus (KuB):</t>
        </r>
        <r>
          <rPr>
            <sz val="9"/>
            <rFont val="Tahoma"/>
            <family val="2"/>
          </rPr>
          <t xml:space="preserve">
Reported as 57.1%.</t>
        </r>
      </text>
    </comment>
    <comment ref="BB121" authorId="0" shapeId="0" xr:uid="{00000000-0006-0000-0100-000027000000}">
      <text>
        <r>
          <rPr>
            <b/>
            <sz val="9"/>
            <rFont val="Tahoma"/>
            <family val="2"/>
          </rPr>
          <t>Tegus (SHK):</t>
        </r>
        <r>
          <rPr>
            <sz val="9"/>
            <rFont val="Tahoma"/>
            <family val="2"/>
          </rPr>
          <t xml:space="preserve">
Reported as 60.0%</t>
        </r>
      </text>
    </comment>
    <comment ref="BA131" authorId="0" shapeId="0" xr:uid="{00000000-0006-0000-0100-000028000000}">
      <text>
        <r>
          <rPr>
            <b/>
            <sz val="9"/>
            <rFont val="Tahoma"/>
            <family val="2"/>
          </rPr>
          <t>Tegus (KuB):</t>
        </r>
        <r>
          <rPr>
            <sz val="9"/>
            <rFont val="Tahoma"/>
            <family val="2"/>
          </rPr>
          <t xml:space="preserve">
Reported as 89.3%.</t>
        </r>
      </text>
    </comment>
    <comment ref="BB131" authorId="0" shapeId="0" xr:uid="{00000000-0006-0000-0100-000029000000}">
      <text>
        <r>
          <rPr>
            <b/>
            <sz val="9"/>
            <rFont val="Tahoma"/>
            <family val="2"/>
          </rPr>
          <t>Tegus (SHK):</t>
        </r>
        <r>
          <rPr>
            <sz val="9"/>
            <rFont val="Tahoma"/>
            <family val="2"/>
          </rPr>
          <t xml:space="preserve">
Reported as 91.7%</t>
        </r>
      </text>
    </comment>
    <comment ref="BC131" authorId="0" shapeId="0" xr:uid="{00000000-0006-0000-0100-00002A000000}">
      <text>
        <r>
          <rPr>
            <b/>
            <sz val="9"/>
            <rFont val="Tahoma"/>
            <family val="2"/>
          </rPr>
          <t>Tegus (KuB):</t>
        </r>
        <r>
          <rPr>
            <sz val="9"/>
            <rFont val="Tahoma"/>
            <family val="2"/>
          </rPr>
          <t xml:space="preserve">
Reported as 92.3%.</t>
        </r>
      </text>
    </comment>
    <comment ref="BD131" authorId="0" shapeId="0" xr:uid="{00000000-0006-0000-0100-00002B000000}">
      <text>
        <r>
          <rPr>
            <b/>
            <sz val="9"/>
            <rFont val="Tahoma"/>
            <family val="2"/>
          </rPr>
          <t>Tegus (FV):</t>
        </r>
        <r>
          <rPr>
            <sz val="9"/>
            <rFont val="Tahoma"/>
            <family val="2"/>
          </rPr>
          <t xml:space="preserve">
Reported as 87.8%</t>
        </r>
      </text>
    </comment>
    <comment ref="BE131" authorId="0" shapeId="0" xr:uid="{00000000-0006-0000-0100-00002C000000}">
      <text>
        <r>
          <rPr>
            <b/>
            <sz val="9"/>
            <rFont val="Tahoma"/>
            <family val="2"/>
          </rPr>
          <t>Tegus (FV):</t>
        </r>
        <r>
          <rPr>
            <sz val="9"/>
            <rFont val="Tahoma"/>
            <family val="2"/>
          </rPr>
          <t xml:space="preserve">
Reported as 90.4%</t>
        </r>
      </text>
    </comment>
    <comment ref="BF131" authorId="0" shapeId="0" xr:uid="{00000000-0006-0000-0100-00002D000000}">
      <text>
        <r>
          <rPr>
            <b/>
            <sz val="9"/>
            <rFont val="Tahoma"/>
            <family val="2"/>
          </rPr>
          <t>Tegus (VK):</t>
        </r>
        <r>
          <rPr>
            <sz val="9"/>
            <rFont val="Tahoma"/>
            <family val="2"/>
          </rPr>
          <t xml:space="preserve">
Reported as 90.1% </t>
        </r>
      </text>
    </comment>
    <comment ref="BG131" authorId="1" shapeId="0" xr:uid="{00000000-0006-0000-0100-00002E000000}">
      <text>
        <r>
          <rPr>
            <b/>
            <sz val="9"/>
            <rFont val="Tahoma"/>
            <family val="2"/>
          </rPr>
          <t>Tegus (RF):</t>
        </r>
        <r>
          <rPr>
            <sz val="9"/>
            <rFont val="Tahoma"/>
            <family val="2"/>
          </rPr>
          <t xml:space="preserve">
reported as 90.5%</t>
        </r>
      </text>
    </comment>
    <comment ref="BH131" authorId="2" shapeId="0" xr:uid="{CB081ABD-BA94-4967-B6F5-B5AB666BE242}">
      <text>
        <r>
          <rPr>
            <b/>
            <sz val="9"/>
            <rFont val="Tahoma"/>
            <family val="2"/>
            <charset val="1"/>
          </rPr>
          <t>Tegus (AkS):</t>
        </r>
        <r>
          <rPr>
            <sz val="9"/>
            <rFont val="Tahoma"/>
            <family val="2"/>
            <charset val="1"/>
          </rPr>
          <t xml:space="preserve">
Reported as 94.4%</t>
        </r>
      </text>
    </comment>
    <comment ref="AQ166" authorId="0" shapeId="0" xr:uid="{00000000-0006-0000-0100-00002F000000}">
      <text>
        <r>
          <rPr>
            <b/>
            <sz val="9"/>
            <rFont val="Tahoma"/>
            <family val="2"/>
          </rPr>
          <t>Tegus (SL):</t>
        </r>
        <r>
          <rPr>
            <sz val="9"/>
            <rFont val="Tahoma"/>
            <family val="2"/>
          </rPr>
          <t xml:space="preserve">
Not meaningful due to being calculated from restated and unrestated BS.</t>
        </r>
      </text>
    </comment>
    <comment ref="AQ167" authorId="0" shapeId="0" xr:uid="{00000000-0006-0000-0100-000030000000}">
      <text>
        <r>
          <rPr>
            <b/>
            <sz val="9"/>
            <rFont val="Tahoma"/>
            <family val="2"/>
          </rPr>
          <t>Tegus (SL):</t>
        </r>
        <r>
          <rPr>
            <sz val="9"/>
            <rFont val="Tahoma"/>
            <family val="2"/>
          </rPr>
          <t xml:space="preserve">
Not meaningful due to being calculated from restated and unrestated BS.</t>
        </r>
      </text>
    </comment>
    <comment ref="AQ168" authorId="0" shapeId="0" xr:uid="{00000000-0006-0000-0100-000031000000}">
      <text>
        <r>
          <rPr>
            <b/>
            <sz val="9"/>
            <rFont val="Tahoma"/>
            <family val="2"/>
          </rPr>
          <t>Tegus (SL):</t>
        </r>
        <r>
          <rPr>
            <sz val="9"/>
            <rFont val="Tahoma"/>
            <family val="2"/>
          </rPr>
          <t xml:space="preserve">
Not meaningful due to being calculated from restated and unrestated BS.</t>
        </r>
      </text>
    </comment>
    <comment ref="AQ169" authorId="0" shapeId="0" xr:uid="{00000000-0006-0000-0100-000032000000}">
      <text>
        <r>
          <rPr>
            <b/>
            <sz val="9"/>
            <rFont val="Tahoma"/>
            <family val="2"/>
          </rPr>
          <t>Tegus (SL):</t>
        </r>
        <r>
          <rPr>
            <sz val="9"/>
            <rFont val="Tahoma"/>
            <family val="2"/>
          </rPr>
          <t xml:space="preserve">
Not meaningful due to being calculated from restated and unrestated BS.</t>
        </r>
      </text>
    </comment>
    <comment ref="AQ171" authorId="0" shapeId="0" xr:uid="{00000000-0006-0000-0100-000033000000}">
      <text>
        <r>
          <rPr>
            <b/>
            <sz val="9"/>
            <rFont val="Tahoma"/>
            <family val="2"/>
          </rPr>
          <t>Tegus (SL):</t>
        </r>
        <r>
          <rPr>
            <sz val="9"/>
            <rFont val="Tahoma"/>
            <family val="2"/>
          </rPr>
          <t xml:space="preserve">
Not meaningful due to being calculated from restated and unrestated BS.</t>
        </r>
      </text>
    </comment>
    <comment ref="AQ172" authorId="0" shapeId="0" xr:uid="{00000000-0006-0000-0100-000034000000}">
      <text>
        <r>
          <rPr>
            <b/>
            <sz val="9"/>
            <rFont val="Tahoma"/>
            <family val="2"/>
          </rPr>
          <t>Tegus (SL):</t>
        </r>
        <r>
          <rPr>
            <sz val="9"/>
            <rFont val="Tahoma"/>
            <family val="2"/>
          </rPr>
          <t xml:space="preserve">
Not meaningful due to being calculated from restated and unrestated BS.</t>
        </r>
      </text>
    </comment>
    <comment ref="AQ173" authorId="0" shapeId="0" xr:uid="{00000000-0006-0000-0100-000035000000}">
      <text>
        <r>
          <rPr>
            <b/>
            <sz val="9"/>
            <rFont val="Tahoma"/>
            <family val="2"/>
          </rPr>
          <t>Tegus (SL):</t>
        </r>
        <r>
          <rPr>
            <sz val="9"/>
            <rFont val="Tahoma"/>
            <family val="2"/>
          </rPr>
          <t xml:space="preserve">
Not meaningful due to being calculated from restated and unrestated BS.</t>
        </r>
      </text>
    </comment>
    <comment ref="AQ174" authorId="0" shapeId="0" xr:uid="{00000000-0006-0000-0100-000036000000}">
      <text>
        <r>
          <rPr>
            <b/>
            <sz val="9"/>
            <rFont val="Tahoma"/>
            <family val="2"/>
          </rPr>
          <t>Tegus (SL):</t>
        </r>
        <r>
          <rPr>
            <sz val="9"/>
            <rFont val="Tahoma"/>
            <family val="2"/>
          </rPr>
          <t xml:space="preserve">
Not meaningful due to being calculated from restated and unrestated BS.</t>
        </r>
      </text>
    </comment>
    <comment ref="AQ175" authorId="0" shapeId="0" xr:uid="{00000000-0006-0000-0100-000037000000}">
      <text>
        <r>
          <rPr>
            <b/>
            <sz val="9"/>
            <rFont val="Tahoma"/>
            <family val="2"/>
          </rPr>
          <t>Tegus (SL):</t>
        </r>
        <r>
          <rPr>
            <sz val="9"/>
            <rFont val="Tahoma"/>
            <family val="2"/>
          </rPr>
          <t xml:space="preserve">
Not meaningful due to being calculated from restated and unrestated BS.</t>
        </r>
      </text>
    </comment>
    <comment ref="AQ177" authorId="0" shapeId="0" xr:uid="{00000000-0006-0000-0100-000038000000}">
      <text>
        <r>
          <rPr>
            <b/>
            <sz val="9"/>
            <rFont val="Tahoma"/>
            <family val="2"/>
          </rPr>
          <t>Tegus (SL):</t>
        </r>
        <r>
          <rPr>
            <sz val="9"/>
            <rFont val="Tahoma"/>
            <family val="2"/>
          </rPr>
          <t xml:space="preserve">
Not meaningful due to being calculated from restated and unrestated BS.</t>
        </r>
      </text>
    </comment>
    <comment ref="AR177" authorId="0" shapeId="0" xr:uid="{00000000-0006-0000-0100-000039000000}">
      <text>
        <r>
          <rPr>
            <b/>
            <sz val="9"/>
            <rFont val="Tahoma"/>
            <family val="2"/>
          </rPr>
          <t>Tegus (HN):</t>
        </r>
        <r>
          <rPr>
            <sz val="9"/>
            <rFont val="Tahoma"/>
            <family val="2"/>
          </rPr>
          <t xml:space="preserve">
Decrease in investments due to divestiture of Annuity business</t>
        </r>
      </text>
    </comment>
    <comment ref="AS177" authorId="0" shapeId="0" xr:uid="{00000000-0006-0000-0100-00003A000000}">
      <text>
        <r>
          <rPr>
            <b/>
            <sz val="9"/>
            <rFont val="Tahoma"/>
            <family val="2"/>
          </rPr>
          <t>Tegus (HN):</t>
        </r>
        <r>
          <rPr>
            <sz val="9"/>
            <rFont val="Tahoma"/>
            <family val="2"/>
          </rPr>
          <t xml:space="preserve">
Decrease in investments due to divestiture of Annuity business</t>
        </r>
      </text>
    </comment>
    <comment ref="AT177" authorId="0" shapeId="0" xr:uid="{00000000-0006-0000-0100-00003B000000}">
      <text>
        <r>
          <rPr>
            <b/>
            <sz val="9"/>
            <rFont val="Tahoma"/>
            <family val="2"/>
          </rPr>
          <t>Tegus (HN):</t>
        </r>
        <r>
          <rPr>
            <sz val="9"/>
            <rFont val="Tahoma"/>
            <family val="2"/>
          </rPr>
          <t xml:space="preserve">
Decrease in investments due to divestiture of Annuity business</t>
        </r>
      </text>
    </comment>
    <comment ref="AU177" authorId="0" shapeId="0" xr:uid="{00000000-0006-0000-0100-00003C000000}">
      <text>
        <r>
          <rPr>
            <b/>
            <sz val="9"/>
            <rFont val="Tahoma"/>
            <family val="2"/>
          </rPr>
          <t>Tegus (SL):</t>
        </r>
        <r>
          <rPr>
            <sz val="9"/>
            <rFont val="Tahoma"/>
            <family val="2"/>
          </rPr>
          <t xml:space="preserve">
Not meaningful due to being calculated from restated and unrestated BS.</t>
        </r>
      </text>
    </comment>
    <comment ref="AV177" authorId="0" shapeId="0" xr:uid="{00000000-0006-0000-0100-00003D000000}">
      <text>
        <r>
          <rPr>
            <b/>
            <sz val="9"/>
            <rFont val="Tahoma"/>
            <family val="2"/>
          </rPr>
          <t>Tegus (HN):</t>
        </r>
        <r>
          <rPr>
            <sz val="9"/>
            <rFont val="Tahoma"/>
            <family val="2"/>
          </rPr>
          <t xml:space="preserve">
Decrease in investments due to divestiture of Annuity business</t>
        </r>
      </text>
    </comment>
    <comment ref="AQ178" authorId="0" shapeId="0" xr:uid="{00000000-0006-0000-0100-00003E000000}">
      <text>
        <r>
          <rPr>
            <b/>
            <sz val="9"/>
            <rFont val="Tahoma"/>
            <family val="2"/>
          </rPr>
          <t>Tegus (SL):</t>
        </r>
        <r>
          <rPr>
            <sz val="9"/>
            <rFont val="Tahoma"/>
            <family val="2"/>
          </rPr>
          <t xml:space="preserve">
Not meaningful due to being calculated from restated and unrestated BS.</t>
        </r>
      </text>
    </comment>
    <comment ref="AR178" authorId="0" shapeId="0" xr:uid="{00000000-0006-0000-0100-00003F000000}">
      <text>
        <r>
          <rPr>
            <b/>
            <sz val="9"/>
            <rFont val="Tahoma"/>
            <family val="2"/>
          </rPr>
          <t>Tegus (HN):</t>
        </r>
        <r>
          <rPr>
            <sz val="9"/>
            <rFont val="Tahoma"/>
            <family val="2"/>
          </rPr>
          <t xml:space="preserve">
Decrease in investments due to divestiture of Annuity business</t>
        </r>
      </text>
    </comment>
    <comment ref="AS178" authorId="0" shapeId="0" xr:uid="{00000000-0006-0000-0100-000040000000}">
      <text>
        <r>
          <rPr>
            <b/>
            <sz val="9"/>
            <rFont val="Tahoma"/>
            <family val="2"/>
          </rPr>
          <t>Tegus (HN):</t>
        </r>
        <r>
          <rPr>
            <sz val="9"/>
            <rFont val="Tahoma"/>
            <family val="2"/>
          </rPr>
          <t xml:space="preserve">
Decrease in investments due to divestiture of Annuity business</t>
        </r>
      </text>
    </comment>
    <comment ref="AT178" authorId="0" shapeId="0" xr:uid="{00000000-0006-0000-0100-000041000000}">
      <text>
        <r>
          <rPr>
            <b/>
            <sz val="9"/>
            <rFont val="Tahoma"/>
            <family val="2"/>
          </rPr>
          <t>Tegus (HN):</t>
        </r>
        <r>
          <rPr>
            <sz val="9"/>
            <rFont val="Tahoma"/>
            <family val="2"/>
          </rPr>
          <t xml:space="preserve">
Decrease in investments due to divestiture of Annuity business</t>
        </r>
      </text>
    </comment>
    <comment ref="AU178" authorId="0" shapeId="0" xr:uid="{00000000-0006-0000-0100-000042000000}">
      <text>
        <r>
          <rPr>
            <b/>
            <sz val="9"/>
            <rFont val="Tahoma"/>
            <family val="2"/>
          </rPr>
          <t>Tegus (SL):</t>
        </r>
        <r>
          <rPr>
            <sz val="9"/>
            <rFont val="Tahoma"/>
            <family val="2"/>
          </rPr>
          <t xml:space="preserve">
Not meaningful due to being calculated from restated and unrestated BS.</t>
        </r>
      </text>
    </comment>
    <comment ref="AQ179" authorId="0" shapeId="0" xr:uid="{00000000-0006-0000-0100-000043000000}">
      <text>
        <r>
          <rPr>
            <b/>
            <sz val="9"/>
            <rFont val="Tahoma"/>
            <family val="2"/>
          </rPr>
          <t>Tegus (SL):</t>
        </r>
        <r>
          <rPr>
            <sz val="9"/>
            <rFont val="Tahoma"/>
            <family val="2"/>
          </rPr>
          <t xml:space="preserve">
Not meaningful due to being calculated from restated and unrestated BS.</t>
        </r>
      </text>
    </comment>
    <comment ref="AR179" authorId="0" shapeId="0" xr:uid="{00000000-0006-0000-0100-000044000000}">
      <text>
        <r>
          <rPr>
            <b/>
            <sz val="9"/>
            <rFont val="Tahoma"/>
            <family val="2"/>
          </rPr>
          <t>Tegus (HN):</t>
        </r>
        <r>
          <rPr>
            <sz val="9"/>
            <rFont val="Tahoma"/>
            <family val="2"/>
          </rPr>
          <t xml:space="preserve">
Decrease in investments due to divestiture of Annuity business</t>
        </r>
      </text>
    </comment>
    <comment ref="AS179" authorId="0" shapeId="0" xr:uid="{00000000-0006-0000-0100-000045000000}">
      <text>
        <r>
          <rPr>
            <b/>
            <sz val="9"/>
            <rFont val="Tahoma"/>
            <family val="2"/>
          </rPr>
          <t>Tegus (HN):</t>
        </r>
        <r>
          <rPr>
            <sz val="9"/>
            <rFont val="Tahoma"/>
            <family val="2"/>
          </rPr>
          <t xml:space="preserve">
Decrease in investments due to divestiture of Annuity business</t>
        </r>
      </text>
    </comment>
    <comment ref="AT179" authorId="0" shapeId="0" xr:uid="{00000000-0006-0000-0100-000046000000}">
      <text>
        <r>
          <rPr>
            <b/>
            <sz val="9"/>
            <rFont val="Tahoma"/>
            <family val="2"/>
          </rPr>
          <t>Tegus (HN):</t>
        </r>
        <r>
          <rPr>
            <sz val="9"/>
            <rFont val="Tahoma"/>
            <family val="2"/>
          </rPr>
          <t xml:space="preserve">
Decrease in investments due to divestiture of Annuity business</t>
        </r>
      </text>
    </comment>
    <comment ref="AU179" authorId="0" shapeId="0" xr:uid="{00000000-0006-0000-0100-000047000000}">
      <text>
        <r>
          <rPr>
            <b/>
            <sz val="9"/>
            <rFont val="Tahoma"/>
            <family val="2"/>
          </rPr>
          <t>Tegus (SL):</t>
        </r>
        <r>
          <rPr>
            <sz val="9"/>
            <rFont val="Tahoma"/>
            <family val="2"/>
          </rPr>
          <t xml:space="preserve">
Not meaningful due to being calculated from restated and unrestated BS.</t>
        </r>
      </text>
    </comment>
    <comment ref="AQ182" authorId="0" shapeId="0" xr:uid="{00000000-0006-0000-0100-000048000000}">
      <text>
        <r>
          <rPr>
            <b/>
            <sz val="9"/>
            <rFont val="Tahoma"/>
            <family val="2"/>
          </rPr>
          <t>Tegus (SL):</t>
        </r>
        <r>
          <rPr>
            <sz val="9"/>
            <rFont val="Tahoma"/>
            <family val="2"/>
          </rPr>
          <t xml:space="preserve">
Not meaningful due to being calculated from restated and unrestated BS.</t>
        </r>
      </text>
    </comment>
    <comment ref="AR182" authorId="0" shapeId="0" xr:uid="{00000000-0006-0000-0100-000049000000}">
      <text>
        <r>
          <rPr>
            <b/>
            <sz val="9"/>
            <rFont val="Tahoma"/>
            <family val="2"/>
          </rPr>
          <t>Tegus (HN):</t>
        </r>
        <r>
          <rPr>
            <sz val="9"/>
            <rFont val="Tahoma"/>
            <family val="2"/>
          </rPr>
          <t xml:space="preserve">
Decrease in investments due to divestiture of Annuity business</t>
        </r>
      </text>
    </comment>
    <comment ref="AS182" authorId="0" shapeId="0" xr:uid="{00000000-0006-0000-0100-00004A000000}">
      <text>
        <r>
          <rPr>
            <b/>
            <sz val="9"/>
            <rFont val="Tahoma"/>
            <family val="2"/>
          </rPr>
          <t>Tegus (HN):</t>
        </r>
        <r>
          <rPr>
            <sz val="9"/>
            <rFont val="Tahoma"/>
            <family val="2"/>
          </rPr>
          <t xml:space="preserve">
Decrease in investments due to divestiture of Annuity business</t>
        </r>
      </text>
    </comment>
    <comment ref="AT182" authorId="0" shapeId="0" xr:uid="{00000000-0006-0000-0100-00004B000000}">
      <text>
        <r>
          <rPr>
            <b/>
            <sz val="9"/>
            <rFont val="Tahoma"/>
            <family val="2"/>
          </rPr>
          <t>Tegus (HN):</t>
        </r>
        <r>
          <rPr>
            <sz val="9"/>
            <rFont val="Tahoma"/>
            <family val="2"/>
          </rPr>
          <t xml:space="preserve">
Decrease in investments due to divestiture of Annuity business</t>
        </r>
      </text>
    </comment>
    <comment ref="AU182" authorId="0" shapeId="0" xr:uid="{00000000-0006-0000-0100-00004C000000}">
      <text>
        <r>
          <rPr>
            <b/>
            <sz val="9"/>
            <rFont val="Tahoma"/>
            <family val="2"/>
          </rPr>
          <t>Tegus (SL):</t>
        </r>
        <r>
          <rPr>
            <sz val="9"/>
            <rFont val="Tahoma"/>
            <family val="2"/>
          </rPr>
          <t xml:space="preserve">
Not meaningful due to being calculated from restated and unrestated BS.</t>
        </r>
      </text>
    </comment>
    <comment ref="AQ183" authorId="0" shapeId="0" xr:uid="{00000000-0006-0000-0100-00004D000000}">
      <text>
        <r>
          <rPr>
            <b/>
            <sz val="9"/>
            <rFont val="Tahoma"/>
            <family val="2"/>
          </rPr>
          <t>Tegus (SL):</t>
        </r>
        <r>
          <rPr>
            <sz val="9"/>
            <rFont val="Tahoma"/>
            <family val="2"/>
          </rPr>
          <t xml:space="preserve">
Not meaningful due to being calculated from restated and unrestated BS.</t>
        </r>
      </text>
    </comment>
    <comment ref="AR183" authorId="0" shapeId="0" xr:uid="{00000000-0006-0000-0100-00004E000000}">
      <text>
        <r>
          <rPr>
            <b/>
            <sz val="9"/>
            <rFont val="Tahoma"/>
            <family val="2"/>
          </rPr>
          <t>Tegus (HN):</t>
        </r>
        <r>
          <rPr>
            <sz val="9"/>
            <rFont val="Tahoma"/>
            <family val="2"/>
          </rPr>
          <t xml:space="preserve">
Decrease in investments due to divestiture of Annuity business</t>
        </r>
      </text>
    </comment>
    <comment ref="AS183" authorId="0" shapeId="0" xr:uid="{00000000-0006-0000-0100-00004F000000}">
      <text>
        <r>
          <rPr>
            <b/>
            <sz val="9"/>
            <rFont val="Tahoma"/>
            <family val="2"/>
          </rPr>
          <t>Tegus (HN):</t>
        </r>
        <r>
          <rPr>
            <sz val="9"/>
            <rFont val="Tahoma"/>
            <family val="2"/>
          </rPr>
          <t xml:space="preserve">
Decrease in investments due to divestiture of Annuity business</t>
        </r>
      </text>
    </comment>
    <comment ref="AT183" authorId="0" shapeId="0" xr:uid="{00000000-0006-0000-0100-000050000000}">
      <text>
        <r>
          <rPr>
            <b/>
            <sz val="9"/>
            <rFont val="Tahoma"/>
            <family val="2"/>
          </rPr>
          <t>Tegus (HN):</t>
        </r>
        <r>
          <rPr>
            <sz val="9"/>
            <rFont val="Tahoma"/>
            <family val="2"/>
          </rPr>
          <t xml:space="preserve">
Decrease in investments due to divestiture of Annuity business</t>
        </r>
      </text>
    </comment>
    <comment ref="AU183" authorId="0" shapeId="0" xr:uid="{00000000-0006-0000-0100-000051000000}">
      <text>
        <r>
          <rPr>
            <b/>
            <sz val="9"/>
            <rFont val="Tahoma"/>
            <family val="2"/>
          </rPr>
          <t>Tegus (SL):</t>
        </r>
        <r>
          <rPr>
            <sz val="9"/>
            <rFont val="Tahoma"/>
            <family val="2"/>
          </rPr>
          <t xml:space="preserve">
Not meaningful due to being calculated from restated and unrestated BS.</t>
        </r>
      </text>
    </comment>
    <comment ref="AQ184" authorId="0" shapeId="0" xr:uid="{00000000-0006-0000-0100-000052000000}">
      <text>
        <r>
          <rPr>
            <b/>
            <sz val="9"/>
            <rFont val="Tahoma"/>
            <family val="2"/>
          </rPr>
          <t>Tegus (SL):</t>
        </r>
        <r>
          <rPr>
            <sz val="9"/>
            <rFont val="Tahoma"/>
            <family val="2"/>
          </rPr>
          <t xml:space="preserve">
Not meaningful due to being calculated from restated and unrestated BS.</t>
        </r>
      </text>
    </comment>
    <comment ref="AR184" authorId="0" shapeId="0" xr:uid="{00000000-0006-0000-0100-000053000000}">
      <text>
        <r>
          <rPr>
            <b/>
            <sz val="9"/>
            <rFont val="Tahoma"/>
            <family val="2"/>
          </rPr>
          <t>Tegus (HN):</t>
        </r>
        <r>
          <rPr>
            <sz val="9"/>
            <rFont val="Tahoma"/>
            <family val="2"/>
          </rPr>
          <t xml:space="preserve">
Decrease in investments due to divestiture of Annuity business</t>
        </r>
      </text>
    </comment>
    <comment ref="AS184" authorId="0" shapeId="0" xr:uid="{00000000-0006-0000-0100-000054000000}">
      <text>
        <r>
          <rPr>
            <b/>
            <sz val="9"/>
            <rFont val="Tahoma"/>
            <family val="2"/>
          </rPr>
          <t>Tegus (HN):</t>
        </r>
        <r>
          <rPr>
            <sz val="9"/>
            <rFont val="Tahoma"/>
            <family val="2"/>
          </rPr>
          <t xml:space="preserve">
Decrease in investments due to divestiture of Annuity business</t>
        </r>
      </text>
    </comment>
    <comment ref="AT184" authorId="0" shapeId="0" xr:uid="{00000000-0006-0000-0100-000055000000}">
      <text>
        <r>
          <rPr>
            <b/>
            <sz val="9"/>
            <rFont val="Tahoma"/>
            <family val="2"/>
          </rPr>
          <t>Tegus (HN):</t>
        </r>
        <r>
          <rPr>
            <sz val="9"/>
            <rFont val="Tahoma"/>
            <family val="2"/>
          </rPr>
          <t xml:space="preserve">
Decrease in investments due to divestiture of Annuity business</t>
        </r>
      </text>
    </comment>
    <comment ref="AU184" authorId="0" shapeId="0" xr:uid="{00000000-0006-0000-0100-000056000000}">
      <text>
        <r>
          <rPr>
            <b/>
            <sz val="9"/>
            <rFont val="Tahoma"/>
            <family val="2"/>
          </rPr>
          <t>Tegus (SL):</t>
        </r>
        <r>
          <rPr>
            <sz val="9"/>
            <rFont val="Tahoma"/>
            <family val="2"/>
          </rPr>
          <t xml:space="preserve">
Not meaningful due to being calculated from restated and unrestated BS.</t>
        </r>
      </text>
    </comment>
    <comment ref="AQ185" authorId="0" shapeId="0" xr:uid="{00000000-0006-0000-0100-000057000000}">
      <text>
        <r>
          <rPr>
            <b/>
            <sz val="9"/>
            <rFont val="Tahoma"/>
            <family val="2"/>
          </rPr>
          <t>Tegus (SL):</t>
        </r>
        <r>
          <rPr>
            <sz val="9"/>
            <rFont val="Tahoma"/>
            <family val="2"/>
          </rPr>
          <t xml:space="preserve">
Not meaningful due to being calculated from restated and unrestated BS.</t>
        </r>
      </text>
    </comment>
    <comment ref="AR185" authorId="0" shapeId="0" xr:uid="{00000000-0006-0000-0100-000058000000}">
      <text>
        <r>
          <rPr>
            <b/>
            <sz val="9"/>
            <rFont val="Tahoma"/>
            <family val="2"/>
          </rPr>
          <t>Tegus (HN):</t>
        </r>
        <r>
          <rPr>
            <sz val="9"/>
            <rFont val="Tahoma"/>
            <family val="2"/>
          </rPr>
          <t xml:space="preserve">
Decrease in investments due to divestiture of Annuity business</t>
        </r>
      </text>
    </comment>
    <comment ref="AS185" authorId="0" shapeId="0" xr:uid="{00000000-0006-0000-0100-000059000000}">
      <text>
        <r>
          <rPr>
            <b/>
            <sz val="9"/>
            <rFont val="Tahoma"/>
            <family val="2"/>
          </rPr>
          <t>Tegus (HN):</t>
        </r>
        <r>
          <rPr>
            <sz val="9"/>
            <rFont val="Tahoma"/>
            <family val="2"/>
          </rPr>
          <t xml:space="preserve">
Decrease in investments due to divestiture of Annuity business</t>
        </r>
      </text>
    </comment>
    <comment ref="AT185" authorId="0" shapeId="0" xr:uid="{00000000-0006-0000-0100-00005A000000}">
      <text>
        <r>
          <rPr>
            <b/>
            <sz val="9"/>
            <rFont val="Tahoma"/>
            <family val="2"/>
          </rPr>
          <t>Tegus (HN):</t>
        </r>
        <r>
          <rPr>
            <sz val="9"/>
            <rFont val="Tahoma"/>
            <family val="2"/>
          </rPr>
          <t xml:space="preserve">
Decrease in investments due to divestiture of Annuity business</t>
        </r>
      </text>
    </comment>
    <comment ref="AU185" authorId="0" shapeId="0" xr:uid="{00000000-0006-0000-0100-00005B000000}">
      <text>
        <r>
          <rPr>
            <b/>
            <sz val="9"/>
            <rFont val="Tahoma"/>
            <family val="2"/>
          </rPr>
          <t>Tegus (SL):</t>
        </r>
        <r>
          <rPr>
            <sz val="9"/>
            <rFont val="Tahoma"/>
            <family val="2"/>
          </rPr>
          <t xml:space="preserve">
Not meaningful due to being calculated from restated and unrestated BS.</t>
        </r>
      </text>
    </comment>
    <comment ref="AL188" authorId="0" shapeId="0" xr:uid="{00000000-0006-0000-0100-00005C000000}">
      <text>
        <r>
          <rPr>
            <b/>
            <sz val="9"/>
            <rFont val="Tahoma"/>
            <family val="2"/>
          </rPr>
          <t>Tegus (SL):</t>
        </r>
        <r>
          <rPr>
            <sz val="9"/>
            <rFont val="Tahoma"/>
            <family val="2"/>
          </rPr>
          <t xml:space="preserve">
Not meaningful due to being calculated from restated IS and unrestated BS.</t>
        </r>
      </text>
    </comment>
    <comment ref="AM188" authorId="0" shapeId="0" xr:uid="{00000000-0006-0000-0100-00005D000000}">
      <text>
        <r>
          <rPr>
            <b/>
            <sz val="9"/>
            <rFont val="Tahoma"/>
            <family val="2"/>
          </rPr>
          <t>Tegus (SL):</t>
        </r>
        <r>
          <rPr>
            <sz val="9"/>
            <rFont val="Tahoma"/>
            <family val="2"/>
          </rPr>
          <t xml:space="preserve">
Not meaningful due to being calculated from restated IS and unrestated BS.</t>
        </r>
      </text>
    </comment>
    <comment ref="AN188" authorId="0" shapeId="0" xr:uid="{00000000-0006-0000-0100-00005E000000}">
      <text>
        <r>
          <rPr>
            <b/>
            <sz val="9"/>
            <rFont val="Tahoma"/>
            <family val="2"/>
          </rPr>
          <t>Tegus (SL):</t>
        </r>
        <r>
          <rPr>
            <sz val="9"/>
            <rFont val="Tahoma"/>
            <family val="2"/>
          </rPr>
          <t xml:space="preserve">
Not meaningful due to being calculated from restated IS and unrestated BS.</t>
        </r>
      </text>
    </comment>
    <comment ref="AO188" authorId="0" shapeId="0" xr:uid="{00000000-0006-0000-0100-00005F000000}">
      <text>
        <r>
          <rPr>
            <b/>
            <sz val="9"/>
            <rFont val="Tahoma"/>
            <family val="2"/>
          </rPr>
          <t>Tegus (SL):</t>
        </r>
        <r>
          <rPr>
            <sz val="9"/>
            <rFont val="Tahoma"/>
            <family val="2"/>
          </rPr>
          <t xml:space="preserve">
Not meaningful due to being calculated from restated IS and unrestated BS.</t>
        </r>
      </text>
    </comment>
    <comment ref="AP188" authorId="0" shapeId="0" xr:uid="{00000000-0006-0000-0100-000060000000}">
      <text>
        <r>
          <rPr>
            <b/>
            <sz val="9"/>
            <rFont val="Tahoma"/>
            <family val="2"/>
          </rPr>
          <t>Tegus (SL):</t>
        </r>
        <r>
          <rPr>
            <sz val="9"/>
            <rFont val="Tahoma"/>
            <family val="2"/>
          </rPr>
          <t xml:space="preserve">
Not meaningful due to being calculated from restated IS and unrestated BS.</t>
        </r>
      </text>
    </comment>
    <comment ref="AQ188" authorId="0" shapeId="0" xr:uid="{00000000-0006-0000-0100-000061000000}">
      <text>
        <r>
          <rPr>
            <b/>
            <sz val="9"/>
            <rFont val="Tahoma"/>
            <family val="2"/>
          </rPr>
          <t>Tegus (SL):</t>
        </r>
        <r>
          <rPr>
            <sz val="9"/>
            <rFont val="Tahoma"/>
            <family val="2"/>
          </rPr>
          <t xml:space="preserve">
Not meaningful due to being calculated from restated IS and unrestated BS.</t>
        </r>
      </text>
    </comment>
    <comment ref="AL189" authorId="0" shapeId="0" xr:uid="{00000000-0006-0000-0100-000062000000}">
      <text>
        <r>
          <rPr>
            <b/>
            <sz val="9"/>
            <rFont val="Tahoma"/>
            <family val="2"/>
          </rPr>
          <t>Tegus (SL):</t>
        </r>
        <r>
          <rPr>
            <sz val="9"/>
            <rFont val="Tahoma"/>
            <family val="2"/>
          </rPr>
          <t xml:space="preserve">
Not meaningful due to being calculated from restated IS and unrestated BS.</t>
        </r>
      </text>
    </comment>
    <comment ref="AM189" authorId="0" shapeId="0" xr:uid="{00000000-0006-0000-0100-000063000000}">
      <text>
        <r>
          <rPr>
            <b/>
            <sz val="9"/>
            <rFont val="Tahoma"/>
            <family val="2"/>
          </rPr>
          <t>Tegus (SL):</t>
        </r>
        <r>
          <rPr>
            <sz val="9"/>
            <rFont val="Tahoma"/>
            <family val="2"/>
          </rPr>
          <t xml:space="preserve">
Not meaningful due to being calculated from restated IS and unrestated BS.</t>
        </r>
      </text>
    </comment>
    <comment ref="AN189" authorId="0" shapeId="0" xr:uid="{00000000-0006-0000-0100-000064000000}">
      <text>
        <r>
          <rPr>
            <b/>
            <sz val="9"/>
            <rFont val="Tahoma"/>
            <family val="2"/>
          </rPr>
          <t>Tegus (SL):</t>
        </r>
        <r>
          <rPr>
            <sz val="9"/>
            <rFont val="Tahoma"/>
            <family val="2"/>
          </rPr>
          <t xml:space="preserve">
Not meaningful due to being calculated from restated IS and unrestated BS.</t>
        </r>
      </text>
    </comment>
    <comment ref="AO189" authorId="0" shapeId="0" xr:uid="{00000000-0006-0000-0100-000065000000}">
      <text>
        <r>
          <rPr>
            <b/>
            <sz val="9"/>
            <rFont val="Tahoma"/>
            <family val="2"/>
          </rPr>
          <t>Tegus (SL):</t>
        </r>
        <r>
          <rPr>
            <sz val="9"/>
            <rFont val="Tahoma"/>
            <family val="2"/>
          </rPr>
          <t xml:space="preserve">
Not meaningful due to being calculated from restated IS and unrestated BS.</t>
        </r>
      </text>
    </comment>
    <comment ref="AP189" authorId="0" shapeId="0" xr:uid="{00000000-0006-0000-0100-000066000000}">
      <text>
        <r>
          <rPr>
            <b/>
            <sz val="9"/>
            <rFont val="Tahoma"/>
            <family val="2"/>
          </rPr>
          <t>Tegus (SL):</t>
        </r>
        <r>
          <rPr>
            <sz val="9"/>
            <rFont val="Tahoma"/>
            <family val="2"/>
          </rPr>
          <t xml:space="preserve">
Not meaningful due to being calculated from restated IS and unrestated BS.</t>
        </r>
      </text>
    </comment>
    <comment ref="AQ189" authorId="0" shapeId="0" xr:uid="{00000000-0006-0000-0100-000067000000}">
      <text>
        <r>
          <rPr>
            <b/>
            <sz val="9"/>
            <rFont val="Tahoma"/>
            <family val="2"/>
          </rPr>
          <t>Tegus (SL):</t>
        </r>
        <r>
          <rPr>
            <sz val="9"/>
            <rFont val="Tahoma"/>
            <family val="2"/>
          </rPr>
          <t xml:space="preserve">
Not meaningful due to being calculated from restated IS and unrestated BS.</t>
        </r>
      </text>
    </comment>
    <comment ref="AL191" authorId="0" shapeId="0" xr:uid="{00000000-0006-0000-0100-000068000000}">
      <text>
        <r>
          <rPr>
            <b/>
            <sz val="9"/>
            <rFont val="Tahoma"/>
            <family val="2"/>
          </rPr>
          <t>Tegus (SL):</t>
        </r>
        <r>
          <rPr>
            <sz val="9"/>
            <rFont val="Tahoma"/>
            <family val="2"/>
          </rPr>
          <t xml:space="preserve">
Not meaningful due to being calculated from restated IS and unrestated BS.</t>
        </r>
      </text>
    </comment>
    <comment ref="AM191" authorId="0" shapeId="0" xr:uid="{00000000-0006-0000-0100-000069000000}">
      <text>
        <r>
          <rPr>
            <b/>
            <sz val="9"/>
            <rFont val="Tahoma"/>
            <family val="2"/>
          </rPr>
          <t>Tegus (SL):</t>
        </r>
        <r>
          <rPr>
            <sz val="9"/>
            <rFont val="Tahoma"/>
            <family val="2"/>
          </rPr>
          <t xml:space="preserve">
Not meaningful due to being calculated from restated IS and unrestated BS.</t>
        </r>
      </text>
    </comment>
    <comment ref="AN191" authorId="0" shapeId="0" xr:uid="{00000000-0006-0000-0100-00006A000000}">
      <text>
        <r>
          <rPr>
            <b/>
            <sz val="9"/>
            <rFont val="Tahoma"/>
            <family val="2"/>
          </rPr>
          <t>Tegus (SL):</t>
        </r>
        <r>
          <rPr>
            <sz val="9"/>
            <rFont val="Tahoma"/>
            <family val="2"/>
          </rPr>
          <t xml:space="preserve">
Not meaningful due to being calculated from restated IS and unrestated BS.</t>
        </r>
      </text>
    </comment>
    <comment ref="AO191" authorId="0" shapeId="0" xr:uid="{00000000-0006-0000-0100-00006B000000}">
      <text>
        <r>
          <rPr>
            <b/>
            <sz val="9"/>
            <rFont val="Tahoma"/>
            <family val="2"/>
          </rPr>
          <t>Tegus (SL):</t>
        </r>
        <r>
          <rPr>
            <sz val="9"/>
            <rFont val="Tahoma"/>
            <family val="2"/>
          </rPr>
          <t xml:space="preserve">
Not meaningful due to being calculated from restated IS and unrestated BS.</t>
        </r>
      </text>
    </comment>
    <comment ref="AP191" authorId="0" shapeId="0" xr:uid="{00000000-0006-0000-0100-00006C000000}">
      <text>
        <r>
          <rPr>
            <b/>
            <sz val="9"/>
            <rFont val="Tahoma"/>
            <family val="2"/>
          </rPr>
          <t>Tegus (SL):</t>
        </r>
        <r>
          <rPr>
            <sz val="9"/>
            <rFont val="Tahoma"/>
            <family val="2"/>
          </rPr>
          <t xml:space="preserve">
Not meaningful due to being calculated from restated IS and unrestated BS.</t>
        </r>
      </text>
    </comment>
    <comment ref="AQ191" authorId="0" shapeId="0" xr:uid="{00000000-0006-0000-0100-00006D000000}">
      <text>
        <r>
          <rPr>
            <b/>
            <sz val="9"/>
            <rFont val="Tahoma"/>
            <family val="2"/>
          </rPr>
          <t>Tegus (SL):</t>
        </r>
        <r>
          <rPr>
            <sz val="9"/>
            <rFont val="Tahoma"/>
            <family val="2"/>
          </rPr>
          <t xml:space="preserve">
Not meaningful due to being calculated from restated IS and unrestated BS.</t>
        </r>
      </text>
    </comment>
    <comment ref="AL192" authorId="0" shapeId="0" xr:uid="{00000000-0006-0000-0100-00006E000000}">
      <text>
        <r>
          <rPr>
            <b/>
            <sz val="9"/>
            <rFont val="Tahoma"/>
            <family val="2"/>
          </rPr>
          <t>Tegus (SL):</t>
        </r>
        <r>
          <rPr>
            <sz val="9"/>
            <rFont val="Tahoma"/>
            <family val="2"/>
          </rPr>
          <t xml:space="preserve">
Not meaningful due to being calculated from restated IS and unrestated BS.</t>
        </r>
      </text>
    </comment>
    <comment ref="AM192" authorId="0" shapeId="0" xr:uid="{00000000-0006-0000-0100-00006F000000}">
      <text>
        <r>
          <rPr>
            <b/>
            <sz val="9"/>
            <rFont val="Tahoma"/>
            <family val="2"/>
          </rPr>
          <t>Tegus (SL):</t>
        </r>
        <r>
          <rPr>
            <sz val="9"/>
            <rFont val="Tahoma"/>
            <family val="2"/>
          </rPr>
          <t xml:space="preserve">
Not meaningful due to being calculated from restated IS and unrestated BS.</t>
        </r>
      </text>
    </comment>
    <comment ref="AN192" authorId="0" shapeId="0" xr:uid="{00000000-0006-0000-0100-000070000000}">
      <text>
        <r>
          <rPr>
            <b/>
            <sz val="9"/>
            <rFont val="Tahoma"/>
            <family val="2"/>
          </rPr>
          <t>Tegus (SL):</t>
        </r>
        <r>
          <rPr>
            <sz val="9"/>
            <rFont val="Tahoma"/>
            <family val="2"/>
          </rPr>
          <t xml:space="preserve">
Not meaningful due to being calculated from restated IS and unrestated BS.</t>
        </r>
      </text>
    </comment>
    <comment ref="AO192" authorId="0" shapeId="0" xr:uid="{00000000-0006-0000-0100-000071000000}">
      <text>
        <r>
          <rPr>
            <b/>
            <sz val="9"/>
            <rFont val="Tahoma"/>
            <family val="2"/>
          </rPr>
          <t>Tegus (SL):</t>
        </r>
        <r>
          <rPr>
            <sz val="9"/>
            <rFont val="Tahoma"/>
            <family val="2"/>
          </rPr>
          <t xml:space="preserve">
Not meaningful due to being calculated from restated IS and unrestated BS.</t>
        </r>
      </text>
    </comment>
    <comment ref="AP192" authorId="0" shapeId="0" xr:uid="{00000000-0006-0000-0100-000072000000}">
      <text>
        <r>
          <rPr>
            <b/>
            <sz val="9"/>
            <rFont val="Tahoma"/>
            <family val="2"/>
          </rPr>
          <t>Tegus (SL):</t>
        </r>
        <r>
          <rPr>
            <sz val="9"/>
            <rFont val="Tahoma"/>
            <family val="2"/>
          </rPr>
          <t xml:space="preserve">
Not meaningful due to being calculated from restated IS and unrestated BS.</t>
        </r>
      </text>
    </comment>
    <comment ref="AQ192" authorId="0" shapeId="0" xr:uid="{00000000-0006-0000-0100-000073000000}">
      <text>
        <r>
          <rPr>
            <b/>
            <sz val="9"/>
            <rFont val="Tahoma"/>
            <family val="2"/>
          </rPr>
          <t>Tegus (SL):</t>
        </r>
        <r>
          <rPr>
            <sz val="9"/>
            <rFont val="Tahoma"/>
            <family val="2"/>
          </rPr>
          <t xml:space="preserve">
Not meaningful due to being calculated from restated IS and unrestated BS.</t>
        </r>
      </text>
    </comment>
    <comment ref="AS211" authorId="0" shapeId="0" xr:uid="{00000000-0006-0000-0100-000074000000}">
      <text>
        <r>
          <rPr>
            <b/>
            <sz val="9"/>
            <rFont val="Tahoma"/>
            <family val="2"/>
          </rPr>
          <t>Tegus (HN):</t>
        </r>
        <r>
          <rPr>
            <sz val="9"/>
            <rFont val="Tahoma"/>
            <family val="2"/>
          </rPr>
          <t xml:space="preserve">
Annuity business is being divested Q2-2021</t>
        </r>
      </text>
    </comment>
    <comment ref="AT211" authorId="0" shapeId="0" xr:uid="{00000000-0006-0000-0100-000075000000}">
      <text>
        <r>
          <rPr>
            <b/>
            <sz val="9"/>
            <rFont val="Tahoma"/>
            <family val="2"/>
          </rPr>
          <t>Tegus (HN):</t>
        </r>
        <r>
          <rPr>
            <sz val="9"/>
            <rFont val="Tahoma"/>
            <family val="2"/>
          </rPr>
          <t xml:space="preserve">
Annuity business is being divested Q2-2021</t>
        </r>
      </text>
    </comment>
    <comment ref="BJ211" authorId="0" shapeId="0" xr:uid="{00000000-0006-0000-0100-000076000000}">
      <text>
        <r>
          <rPr>
            <b/>
            <sz val="9"/>
            <rFont val="Tahoma"/>
            <family val="2"/>
          </rPr>
          <t>Tegus (HN):</t>
        </r>
        <r>
          <rPr>
            <sz val="9"/>
            <rFont val="Tahoma"/>
            <family val="2"/>
          </rPr>
          <t xml:space="preserve">
Annuity business divested in Q2-2021</t>
        </r>
      </text>
    </comment>
    <comment ref="AS213" authorId="0" shapeId="0" xr:uid="{00000000-0006-0000-0100-000077000000}">
      <text>
        <r>
          <rPr>
            <b/>
            <sz val="9"/>
            <rFont val="Tahoma"/>
            <family val="2"/>
          </rPr>
          <t>Tegus (HN):</t>
        </r>
        <r>
          <rPr>
            <sz val="9"/>
            <rFont val="Tahoma"/>
            <family val="2"/>
          </rPr>
          <t xml:space="preserve">
Annuity business is being divested Q2-2021</t>
        </r>
      </text>
    </comment>
    <comment ref="AT213" authorId="0" shapeId="0" xr:uid="{00000000-0006-0000-0100-000078000000}">
      <text>
        <r>
          <rPr>
            <b/>
            <sz val="9"/>
            <rFont val="Tahoma"/>
            <family val="2"/>
          </rPr>
          <t>Tegus (HN):</t>
        </r>
        <r>
          <rPr>
            <sz val="9"/>
            <rFont val="Tahoma"/>
            <family val="2"/>
          </rPr>
          <t xml:space="preserve">
Annuity business is being divested Q2-2021</t>
        </r>
      </text>
    </comment>
    <comment ref="BJ213" authorId="0" shapeId="0" xr:uid="{00000000-0006-0000-0100-000079000000}">
      <text>
        <r>
          <rPr>
            <b/>
            <sz val="9"/>
            <rFont val="Tahoma"/>
            <family val="2"/>
          </rPr>
          <t>Tegus (HN):</t>
        </r>
        <r>
          <rPr>
            <sz val="9"/>
            <rFont val="Tahoma"/>
            <family val="2"/>
          </rPr>
          <t xml:space="preserve">
Annuity business divested in Q2-2021</t>
        </r>
      </text>
    </comment>
    <comment ref="BC250" authorId="0" shapeId="0" xr:uid="{00000000-0006-0000-0100-00007A000000}">
      <text>
        <r>
          <rPr>
            <b/>
            <sz val="9"/>
            <rFont val="Tahoma"/>
            <family val="2"/>
          </rPr>
          <t>Tegus (KuB):</t>
        </r>
        <r>
          <rPr>
            <sz val="9"/>
            <rFont val="Tahoma"/>
            <family val="2"/>
          </rPr>
          <t xml:space="preserve">
Includes realized loss on subsidary.</t>
        </r>
      </text>
    </comment>
    <comment ref="AY254" authorId="0" shapeId="0" xr:uid="{00000000-0006-0000-0100-00007B000000}">
      <text>
        <r>
          <rPr>
            <b/>
            <sz val="9"/>
            <rFont val="Tahoma"/>
            <family val="2"/>
          </rPr>
          <t>Tegus (AS):</t>
        </r>
        <r>
          <rPr>
            <sz val="9"/>
            <rFont val="Tahoma"/>
            <family val="2"/>
          </rPr>
          <t xml:space="preserve">
Reported as 0</t>
        </r>
      </text>
    </comment>
    <comment ref="AY256" authorId="0" shapeId="0" xr:uid="{00000000-0006-0000-0100-00007C000000}">
      <text>
        <r>
          <rPr>
            <b/>
            <sz val="9"/>
            <rFont val="Tahoma"/>
            <family val="2"/>
          </rPr>
          <t>Tegus (AS):</t>
        </r>
        <r>
          <rPr>
            <sz val="9"/>
            <rFont val="Tahoma"/>
            <family val="2"/>
          </rPr>
          <t xml:space="preserve">
Reported as 0</t>
        </r>
      </text>
    </comment>
    <comment ref="D295" authorId="0" shapeId="0" xr:uid="{00000000-0006-0000-0100-00007D000000}">
      <text>
        <r>
          <rPr>
            <b/>
            <sz val="9"/>
            <rFont val="Tahoma"/>
            <family val="2"/>
          </rPr>
          <t>Tegus (EN):</t>
        </r>
        <r>
          <rPr>
            <sz val="9"/>
            <rFont val="Tahoma"/>
            <family val="2"/>
          </rPr>
          <t xml:space="preserve">
Reported $4.38</t>
        </r>
      </text>
    </comment>
    <comment ref="E295" authorId="0" shapeId="0" xr:uid="{00000000-0006-0000-0100-00007E000000}">
      <text>
        <r>
          <rPr>
            <b/>
            <sz val="9"/>
            <rFont val="Tahoma"/>
            <family val="2"/>
          </rPr>
          <t>Tegus (EN):</t>
        </r>
        <r>
          <rPr>
            <sz val="9"/>
            <rFont val="Tahoma"/>
            <family val="2"/>
          </rPr>
          <t xml:space="preserve">
Reported $3.37</t>
        </r>
      </text>
    </comment>
    <comment ref="K295" authorId="0" shapeId="0" xr:uid="{00000000-0006-0000-0100-00007F000000}">
      <text>
        <r>
          <rPr>
            <b/>
            <sz val="9"/>
            <rFont val="Tahoma"/>
            <family val="2"/>
          </rPr>
          <t>Tegus (EN):</t>
        </r>
        <r>
          <rPr>
            <sz val="9"/>
            <rFont val="Tahoma"/>
            <family val="2"/>
          </rPr>
          <t xml:space="preserve">
Not reported by the firm and thus cannot be verified</t>
        </r>
      </text>
    </comment>
    <comment ref="L295" authorId="0" shapeId="0" xr:uid="{00000000-0006-0000-0100-000080000000}">
      <text>
        <r>
          <rPr>
            <b/>
            <sz val="9"/>
            <rFont val="Tahoma"/>
            <family val="2"/>
          </rPr>
          <t>Tegus (EN):</t>
        </r>
        <r>
          <rPr>
            <sz val="9"/>
            <rFont val="Tahoma"/>
            <family val="2"/>
          </rPr>
          <t xml:space="preserve">
Reported $5.07</t>
        </r>
      </text>
    </comment>
    <comment ref="N295" authorId="0" shapeId="0" xr:uid="{00000000-0006-0000-0100-000081000000}">
      <text>
        <r>
          <rPr>
            <b/>
            <sz val="9"/>
            <rFont val="Tahoma"/>
            <family val="2"/>
          </rPr>
          <t>Tegus (EN):</t>
        </r>
        <r>
          <rPr>
            <sz val="9"/>
            <rFont val="Tahoma"/>
            <family val="2"/>
          </rPr>
          <t xml:space="preserve">
Reported $1.60</t>
        </r>
      </text>
    </comment>
    <comment ref="P295" authorId="0" shapeId="0" xr:uid="{00000000-0006-0000-0100-000082000000}">
      <text>
        <r>
          <rPr>
            <b/>
            <sz val="9"/>
            <rFont val="Tahoma"/>
            <family val="2"/>
          </rPr>
          <t>Tegus (EN):</t>
        </r>
        <r>
          <rPr>
            <sz val="9"/>
            <rFont val="Tahoma"/>
            <family val="2"/>
          </rPr>
          <t xml:space="preserve">
Not reported by the firm and thus cannot be verified</t>
        </r>
      </text>
    </comment>
    <comment ref="S295" authorId="0" shapeId="0" xr:uid="{00000000-0006-0000-0100-000083000000}">
      <text>
        <r>
          <rPr>
            <b/>
            <sz val="9"/>
            <rFont val="Tahoma"/>
            <family val="2"/>
          </rPr>
          <t>Tegus (EN):</t>
        </r>
        <r>
          <rPr>
            <sz val="9"/>
            <rFont val="Tahoma"/>
            <family val="2"/>
          </rPr>
          <t xml:space="preserve">
Reported $.63</t>
        </r>
      </text>
    </comment>
    <comment ref="U295" authorId="0" shapeId="0" xr:uid="{00000000-0006-0000-0100-000084000000}">
      <text>
        <r>
          <rPr>
            <b/>
            <sz val="9"/>
            <rFont val="Tahoma"/>
            <family val="2"/>
          </rPr>
          <t>Tegus (EN):</t>
        </r>
        <r>
          <rPr>
            <sz val="9"/>
            <rFont val="Tahoma"/>
            <family val="2"/>
          </rPr>
          <t xml:space="preserve">
Not reported by the firm and thus cannot be verified</t>
        </r>
      </text>
    </comment>
    <comment ref="W295" authorId="0" shapeId="0" xr:uid="{00000000-0006-0000-0100-000085000000}">
      <text>
        <r>
          <rPr>
            <b/>
            <sz val="9"/>
            <rFont val="Tahoma"/>
            <family val="2"/>
          </rPr>
          <t>Tegus (EN):</t>
        </r>
        <r>
          <rPr>
            <sz val="9"/>
            <rFont val="Tahoma"/>
            <family val="2"/>
          </rPr>
          <t xml:space="preserve">
Reported $1.76</t>
        </r>
      </text>
    </comment>
    <comment ref="X295" authorId="0" shapeId="0" xr:uid="{00000000-0006-0000-0100-000086000000}">
      <text>
        <r>
          <rPr>
            <b/>
            <sz val="9"/>
            <rFont val="Tahoma"/>
            <family val="2"/>
          </rPr>
          <t>Tegus (MB):</t>
        </r>
        <r>
          <rPr>
            <sz val="9"/>
            <rFont val="Tahoma"/>
            <family val="2"/>
          </rPr>
          <t xml:space="preserve">
Reported as $1.64</t>
        </r>
      </text>
    </comment>
    <comment ref="Y295" authorId="0" shapeId="0" xr:uid="{00000000-0006-0000-0100-000087000000}">
      <text>
        <r>
          <rPr>
            <b/>
            <sz val="9"/>
            <rFont val="Tahoma"/>
            <family val="2"/>
          </rPr>
          <t>Tegus (VT):</t>
        </r>
        <r>
          <rPr>
            <sz val="9"/>
            <rFont val="Tahoma"/>
            <family val="2"/>
          </rPr>
          <t xml:space="preserve">
Reported as 0.13</t>
        </r>
      </text>
    </comment>
    <comment ref="AA295" authorId="0" shapeId="0" xr:uid="{00000000-0006-0000-0100-000088000000}">
      <text>
        <r>
          <rPr>
            <b/>
            <sz val="9"/>
            <rFont val="Tahoma"/>
            <family val="2"/>
          </rPr>
          <t>Tegus (PP):</t>
        </r>
        <r>
          <rPr>
            <sz val="9"/>
            <rFont val="Tahoma"/>
            <family val="2"/>
          </rPr>
          <t xml:space="preserve">
reported as $5.40</t>
        </r>
      </text>
    </comment>
    <comment ref="AD295" authorId="0" shapeId="0" xr:uid="{00000000-0006-0000-0100-000089000000}">
      <text>
        <r>
          <rPr>
            <b/>
            <sz val="9"/>
            <rFont val="Tahoma"/>
            <family val="2"/>
          </rPr>
          <t>Tegus (WZ):</t>
        </r>
        <r>
          <rPr>
            <sz val="9"/>
            <rFont val="Tahoma"/>
            <family val="2"/>
          </rPr>
          <t xml:space="preserve">
Reported $2.30</t>
        </r>
      </text>
    </comment>
    <comment ref="AF295" authorId="0" shapeId="0" xr:uid="{00000000-0006-0000-0100-00008A000000}">
      <text>
        <r>
          <rPr>
            <b/>
            <sz val="9"/>
            <rFont val="Tahoma"/>
            <family val="2"/>
          </rPr>
          <t>Tegus (OG):</t>
        </r>
        <r>
          <rPr>
            <sz val="9"/>
            <rFont val="Tahoma"/>
            <family val="2"/>
          </rPr>
          <t xml:space="preserve">
Reported as $5.95</t>
        </r>
      </text>
    </comment>
    <comment ref="AI295" authorId="0" shapeId="0" xr:uid="{00000000-0006-0000-0100-00008B000000}">
      <text>
        <r>
          <rPr>
            <b/>
            <sz val="9"/>
            <rFont val="Tahoma"/>
            <family val="2"/>
          </rPr>
          <t>Tegus (OG):</t>
        </r>
        <r>
          <rPr>
            <sz val="9"/>
            <rFont val="Tahoma"/>
            <family val="2"/>
          </rPr>
          <t xml:space="preserve">
Reported as $1.64</t>
        </r>
      </text>
    </comment>
    <comment ref="AJ295" authorId="0" shapeId="0" xr:uid="{00000000-0006-0000-0100-00008C000000}">
      <text>
        <r>
          <rPr>
            <b/>
            <sz val="9"/>
            <rFont val="Tahoma"/>
            <family val="2"/>
          </rPr>
          <t>Tegus (ML):</t>
        </r>
        <r>
          <rPr>
            <sz val="9"/>
            <rFont val="Tahoma"/>
            <family val="2"/>
          </rPr>
          <t xml:space="preserve">
Reported as $2.33</t>
        </r>
      </text>
    </comment>
    <comment ref="AL295" authorId="0" shapeId="0" xr:uid="{00000000-0006-0000-0100-00008D000000}">
      <text>
        <r>
          <rPr>
            <b/>
            <sz val="9"/>
            <rFont val="Tahoma"/>
            <family val="2"/>
          </rPr>
          <t>Tegus (OG):</t>
        </r>
        <r>
          <rPr>
            <sz val="9"/>
            <rFont val="Tahoma"/>
            <family val="2"/>
          </rPr>
          <t xml:space="preserve">
reported as ($3.34)</t>
        </r>
      </text>
    </comment>
    <comment ref="AM295" authorId="0" shapeId="0" xr:uid="{00000000-0006-0000-0100-00008E000000}">
      <text>
        <r>
          <rPr>
            <b/>
            <sz val="9"/>
            <rFont val="Tahoma"/>
            <family val="2"/>
          </rPr>
          <t>Tegus (ML):</t>
        </r>
        <r>
          <rPr>
            <sz val="9"/>
            <rFont val="Tahoma"/>
            <family val="2"/>
          </rPr>
          <t xml:space="preserve">
Reported as $1.98</t>
        </r>
      </text>
    </comment>
    <comment ref="AR295" authorId="0" shapeId="0" xr:uid="{00000000-0006-0000-0100-00008F000000}">
      <text>
        <r>
          <rPr>
            <b/>
            <sz val="9"/>
            <rFont val="Tahoma"/>
            <family val="2"/>
          </rPr>
          <t>Tegus (HN):</t>
        </r>
        <r>
          <rPr>
            <sz val="9"/>
            <rFont val="Tahoma"/>
            <family val="2"/>
          </rPr>
          <t xml:space="preserve">
Reported as $11.78</t>
        </r>
      </text>
    </comment>
    <comment ref="AS295" authorId="0" shapeId="0" xr:uid="{00000000-0006-0000-0100-000090000000}">
      <text>
        <r>
          <rPr>
            <b/>
            <sz val="9"/>
            <rFont val="Tahoma"/>
            <family val="2"/>
          </rPr>
          <t>Tegus (ArS):</t>
        </r>
        <r>
          <rPr>
            <sz val="9"/>
            <rFont val="Tahoma"/>
            <family val="2"/>
          </rPr>
          <t xml:space="preserve">
Reported as $2.57</t>
        </r>
      </text>
    </comment>
    <comment ref="BB295" authorId="0" shapeId="0" xr:uid="{00000000-0006-0000-0100-000091000000}">
      <text>
        <r>
          <rPr>
            <b/>
            <sz val="9"/>
            <rFont val="Tahoma"/>
            <family val="2"/>
          </rPr>
          <t>Tegus (SHK):</t>
        </r>
        <r>
          <rPr>
            <sz val="9"/>
            <rFont val="Tahoma"/>
            <family val="2"/>
          </rPr>
          <t xml:space="preserve">
Reported as $ 2.34</t>
        </r>
      </text>
    </comment>
    <comment ref="BC295" authorId="0" shapeId="0" xr:uid="{00000000-0006-0000-0100-000092000000}">
      <text>
        <r>
          <rPr>
            <b/>
            <sz val="9"/>
            <rFont val="Tahoma"/>
            <family val="2"/>
          </rPr>
          <t>Tegus (KuB):</t>
        </r>
        <r>
          <rPr>
            <sz val="9"/>
            <rFont val="Tahoma"/>
            <family val="2"/>
          </rPr>
          <t xml:space="preserve">
Reported as $ 2.10.</t>
        </r>
      </text>
    </comment>
    <comment ref="C296" authorId="0" shapeId="0" xr:uid="{00000000-0006-0000-0100-000093000000}">
      <text>
        <r>
          <rPr>
            <b/>
            <sz val="9"/>
            <rFont val="Tahoma"/>
            <family val="2"/>
          </rPr>
          <t>Tegus (EN):</t>
        </r>
        <r>
          <rPr>
            <sz val="9"/>
            <rFont val="Tahoma"/>
            <family val="2"/>
          </rPr>
          <t xml:space="preserve">
Reported $4.45</t>
        </r>
      </text>
    </comment>
    <comment ref="H296" authorId="0" shapeId="0" xr:uid="{00000000-0006-0000-0100-000094000000}">
      <text>
        <r>
          <rPr>
            <b/>
            <sz val="9"/>
            <rFont val="Tahoma"/>
            <family val="2"/>
          </rPr>
          <t>Tegus (EN):</t>
        </r>
        <r>
          <rPr>
            <sz val="9"/>
            <rFont val="Tahoma"/>
            <family val="2"/>
          </rPr>
          <t xml:space="preserve">
Reported $1.13</t>
        </r>
      </text>
    </comment>
    <comment ref="I296" authorId="0" shapeId="0" xr:uid="{00000000-0006-0000-0100-000095000000}">
      <text>
        <r>
          <rPr>
            <b/>
            <sz val="9"/>
            <rFont val="Tahoma"/>
            <family val="2"/>
          </rPr>
          <t>Tegus (EN):</t>
        </r>
        <r>
          <rPr>
            <sz val="9"/>
            <rFont val="Tahoma"/>
            <family val="2"/>
          </rPr>
          <t xml:space="preserve">
Reported $1.15</t>
        </r>
      </text>
    </comment>
    <comment ref="N296" authorId="0" shapeId="0" xr:uid="{00000000-0006-0000-0100-000096000000}">
      <text>
        <r>
          <rPr>
            <b/>
            <sz val="9"/>
            <rFont val="Tahoma"/>
            <family val="2"/>
          </rPr>
          <t>Tegus (EN):</t>
        </r>
        <r>
          <rPr>
            <sz val="9"/>
            <rFont val="Tahoma"/>
            <family val="2"/>
          </rPr>
          <t xml:space="preserve">
Reported $1.57</t>
        </r>
      </text>
    </comment>
    <comment ref="S296" authorId="0" shapeId="0" xr:uid="{00000000-0006-0000-0100-000097000000}">
      <text>
        <r>
          <rPr>
            <b/>
            <sz val="9"/>
            <rFont val="Tahoma"/>
            <family val="2"/>
          </rPr>
          <t>Tegus (EN):</t>
        </r>
        <r>
          <rPr>
            <sz val="9"/>
            <rFont val="Tahoma"/>
            <family val="2"/>
          </rPr>
          <t xml:space="preserve">
Reported $.62</t>
        </r>
      </text>
    </comment>
    <comment ref="U296" authorId="0" shapeId="0" xr:uid="{00000000-0006-0000-0100-000098000000}">
      <text>
        <r>
          <rPr>
            <b/>
            <sz val="9"/>
            <rFont val="Tahoma"/>
            <family val="2"/>
          </rPr>
          <t>Tegus (EN):</t>
        </r>
        <r>
          <rPr>
            <sz val="9"/>
            <rFont val="Tahoma"/>
            <family val="2"/>
          </rPr>
          <t xml:space="preserve">
Reported $4.33</t>
        </r>
      </text>
    </comment>
    <comment ref="W296" authorId="0" shapeId="0" xr:uid="{00000000-0006-0000-0100-000099000000}">
      <text>
        <r>
          <rPr>
            <b/>
            <sz val="9"/>
            <rFont val="Tahoma"/>
            <family val="2"/>
          </rPr>
          <t>Tegus (EN):</t>
        </r>
        <r>
          <rPr>
            <sz val="9"/>
            <rFont val="Tahoma"/>
            <family val="2"/>
          </rPr>
          <t xml:space="preserve">
Reported $1.72</t>
        </r>
      </text>
    </comment>
    <comment ref="Y296" authorId="0" shapeId="0" xr:uid="{00000000-0006-0000-0100-00009A000000}">
      <text>
        <r>
          <rPr>
            <b/>
            <sz val="9"/>
            <rFont val="Tahoma"/>
            <family val="2"/>
          </rPr>
          <t>Tegus (VT):</t>
        </r>
        <r>
          <rPr>
            <sz val="9"/>
            <rFont val="Tahoma"/>
            <family val="2"/>
          </rPr>
          <t xml:space="preserve">
Reported as 0.13</t>
        </r>
      </text>
    </comment>
    <comment ref="AA296" authorId="0" shapeId="0" xr:uid="{00000000-0006-0000-0100-00009B000000}">
      <text>
        <r>
          <rPr>
            <b/>
            <sz val="9"/>
            <rFont val="Tahoma"/>
            <family val="2"/>
          </rPr>
          <t>Tegus (PP):</t>
        </r>
        <r>
          <rPr>
            <sz val="9"/>
            <rFont val="Tahoma"/>
            <family val="2"/>
          </rPr>
          <t xml:space="preserve">
reported as $5.28</t>
        </r>
      </text>
    </comment>
    <comment ref="AC296" authorId="0" shapeId="0" xr:uid="{00000000-0006-0000-0100-00009C000000}">
      <text>
        <r>
          <rPr>
            <b/>
            <sz val="9"/>
            <rFont val="Tahoma"/>
            <family val="2"/>
          </rPr>
          <t>Tegus (JZ):</t>
        </r>
        <r>
          <rPr>
            <sz val="9"/>
            <rFont val="Tahoma"/>
            <family val="2"/>
          </rPr>
          <t xml:space="preserve">
reported as $2.31</t>
        </r>
      </text>
    </comment>
    <comment ref="AD296" authorId="0" shapeId="0" xr:uid="{00000000-0006-0000-0100-00009D000000}">
      <text>
        <r>
          <rPr>
            <b/>
            <sz val="9"/>
            <rFont val="Tahoma"/>
            <family val="2"/>
          </rPr>
          <t>Tegus (WZ):</t>
        </r>
        <r>
          <rPr>
            <sz val="9"/>
            <rFont val="Tahoma"/>
            <family val="2"/>
          </rPr>
          <t xml:space="preserve">
Reported $2.26</t>
        </r>
      </text>
    </comment>
    <comment ref="AI296" authorId="0" shapeId="0" xr:uid="{00000000-0006-0000-0100-00009E000000}">
      <text>
        <r>
          <rPr>
            <b/>
            <sz val="9"/>
            <rFont val="Tahoma"/>
            <family val="2"/>
          </rPr>
          <t>Tegus (OG):</t>
        </r>
        <r>
          <rPr>
            <sz val="9"/>
            <rFont val="Tahoma"/>
            <family val="2"/>
          </rPr>
          <t xml:space="preserve">
Reported as $1.62</t>
        </r>
      </text>
    </comment>
    <comment ref="AJ296" authorId="0" shapeId="0" xr:uid="{00000000-0006-0000-0100-00009F000000}">
      <text>
        <r>
          <rPr>
            <b/>
            <sz val="9"/>
            <rFont val="Tahoma"/>
            <family val="2"/>
          </rPr>
          <t>Tegus (ML):</t>
        </r>
        <r>
          <rPr>
            <sz val="9"/>
            <rFont val="Tahoma"/>
            <family val="2"/>
          </rPr>
          <t xml:space="preserve">
Reported as $2.30</t>
        </r>
      </text>
    </comment>
    <comment ref="AK296" authorId="0" shapeId="0" xr:uid="{00000000-0006-0000-0100-0000A0000000}">
      <text>
        <r>
          <rPr>
            <b/>
            <sz val="9"/>
            <rFont val="Tahoma"/>
            <family val="2"/>
          </rPr>
          <t>Tegus (ML):</t>
        </r>
        <r>
          <rPr>
            <sz val="9"/>
            <rFont val="Tahoma"/>
            <family val="2"/>
          </rPr>
          <t xml:space="preserve">
Reported as $9.85</t>
        </r>
      </text>
    </comment>
    <comment ref="AL296" authorId="0" shapeId="0" xr:uid="{00000000-0006-0000-0100-0000A1000000}">
      <text>
        <r>
          <rPr>
            <b/>
            <sz val="9"/>
            <rFont val="Tahoma"/>
            <family val="2"/>
          </rPr>
          <t>Tegus (OG):</t>
        </r>
        <r>
          <rPr>
            <sz val="9"/>
            <rFont val="Tahoma"/>
            <family val="2"/>
          </rPr>
          <t xml:space="preserve">
reported as ($3.34)</t>
        </r>
      </text>
    </comment>
    <comment ref="AN296" authorId="0" shapeId="0" xr:uid="{00000000-0006-0000-0100-0000A2000000}">
      <text>
        <r>
          <rPr>
            <b/>
            <sz val="9"/>
            <rFont val="Tahoma"/>
            <family val="2"/>
          </rPr>
          <t>Tegus (OG):</t>
        </r>
        <r>
          <rPr>
            <sz val="9"/>
            <rFont val="Tahoma"/>
            <family val="2"/>
          </rPr>
          <t xml:space="preserve">
reported as $1.86</t>
        </r>
      </text>
    </comment>
    <comment ref="AO296" authorId="0" shapeId="0" xr:uid="{00000000-0006-0000-0100-0000A3000000}">
      <text>
        <r>
          <rPr>
            <b/>
            <sz val="9"/>
            <rFont val="Tahoma"/>
            <family val="2"/>
          </rPr>
          <t>Tegus (ArS):</t>
        </r>
        <r>
          <rPr>
            <sz val="9"/>
            <rFont val="Tahoma"/>
            <family val="2"/>
          </rPr>
          <t xml:space="preserve">
Reported as $7.93</t>
        </r>
      </text>
    </comment>
    <comment ref="AP296" authorId="0" shapeId="0" xr:uid="{00000000-0006-0000-0100-0000A4000000}">
      <text>
        <r>
          <rPr>
            <b/>
            <sz val="9"/>
            <rFont val="Tahoma"/>
            <family val="2"/>
          </rPr>
          <t>Tegus (ArS):</t>
        </r>
        <r>
          <rPr>
            <sz val="9"/>
            <rFont val="Tahoma"/>
            <family val="2"/>
          </rPr>
          <t xml:space="preserve">
Reported as $8.20</t>
        </r>
      </text>
    </comment>
    <comment ref="AS296" authorId="0" shapeId="0" xr:uid="{00000000-0006-0000-0100-0000A5000000}">
      <text>
        <r>
          <rPr>
            <b/>
            <sz val="9"/>
            <rFont val="Tahoma"/>
            <family val="2"/>
          </rPr>
          <t>Tegus (ArS):</t>
        </r>
        <r>
          <rPr>
            <sz val="9"/>
            <rFont val="Tahoma"/>
            <family val="2"/>
          </rPr>
          <t xml:space="preserve">
Reported as $2.56</t>
        </r>
      </text>
    </comment>
    <comment ref="AT296" authorId="0" shapeId="0" xr:uid="{00000000-0006-0000-0100-0000A6000000}">
      <text>
        <r>
          <rPr>
            <b/>
            <sz val="9"/>
            <rFont val="Tahoma"/>
            <family val="2"/>
          </rPr>
          <t>Tegus (OG):</t>
        </r>
        <r>
          <rPr>
            <sz val="9"/>
            <rFont val="Tahoma"/>
            <family val="2"/>
          </rPr>
          <t xml:space="preserve">
reported $4.18</t>
        </r>
      </text>
    </comment>
    <comment ref="AU296" authorId="0" shapeId="0" xr:uid="{00000000-0006-0000-0100-0000A7000000}">
      <text>
        <r>
          <rPr>
            <b/>
            <sz val="9"/>
            <rFont val="Tahoma"/>
            <family val="2"/>
          </rPr>
          <t>Tegus (OG):</t>
        </r>
        <r>
          <rPr>
            <sz val="9"/>
            <rFont val="Tahoma"/>
            <family val="2"/>
          </rPr>
          <t xml:space="preserve">
reported $23.30</t>
        </r>
      </text>
    </comment>
    <comment ref="BA296" authorId="0" shapeId="0" xr:uid="{00000000-0006-0000-0100-0000A8000000}">
      <text>
        <r>
          <rPr>
            <b/>
            <sz val="9"/>
            <rFont val="Tahoma"/>
            <family val="2"/>
          </rPr>
          <t>Tegus (KuB):</t>
        </r>
        <r>
          <rPr>
            <sz val="9"/>
            <rFont val="Tahoma"/>
            <family val="2"/>
          </rPr>
          <t xml:space="preserve">
Reported as $2.49.</t>
        </r>
      </text>
    </comment>
    <comment ref="BB296" authorId="0" shapeId="0" xr:uid="{00000000-0006-0000-0100-0000A9000000}">
      <text>
        <r>
          <rPr>
            <b/>
            <sz val="9"/>
            <rFont val="Tahoma"/>
            <family val="2"/>
          </rPr>
          <t>Tegus (SHK):</t>
        </r>
        <r>
          <rPr>
            <sz val="9"/>
            <rFont val="Tahoma"/>
            <family val="2"/>
          </rPr>
          <t xml:space="preserve">
Reported as $ 2.34</t>
        </r>
      </text>
    </comment>
    <comment ref="BD296" authorId="0" shapeId="0" xr:uid="{00000000-0006-0000-0100-0000AA000000}">
      <text>
        <r>
          <rPr>
            <b/>
            <sz val="9"/>
            <rFont val="Tahoma"/>
            <family val="2"/>
          </rPr>
          <t>Tegus (FV):</t>
        </r>
        <r>
          <rPr>
            <sz val="9"/>
            <rFont val="Tahoma"/>
            <family val="2"/>
          </rPr>
          <t xml:space="preserve">
Reported as $3.13</t>
        </r>
      </text>
    </comment>
    <comment ref="AL297" authorId="0" shapeId="0" xr:uid="{00000000-0006-0000-0100-0000AB000000}">
      <text>
        <r>
          <rPr>
            <b/>
            <sz val="9"/>
            <rFont val="Tahoma"/>
            <family val="2"/>
          </rPr>
          <t>Tegus (SL):</t>
        </r>
        <r>
          <rPr>
            <sz val="9"/>
            <rFont val="Tahoma"/>
            <family val="2"/>
          </rPr>
          <t xml:space="preserve">
Reported as $1.36</t>
        </r>
      </text>
    </comment>
    <comment ref="AN297" authorId="0" shapeId="0" xr:uid="{00000000-0006-0000-0100-0000AC000000}">
      <text>
        <r>
          <rPr>
            <b/>
            <sz val="9"/>
            <rFont val="Tahoma"/>
            <family val="2"/>
          </rPr>
          <t>Tegus (SL):</t>
        </r>
        <r>
          <rPr>
            <sz val="9"/>
            <rFont val="Tahoma"/>
            <family val="2"/>
          </rPr>
          <t xml:space="preserve">
Reported as $1.38</t>
        </r>
      </text>
    </comment>
    <comment ref="AP297" authorId="0" shapeId="0" xr:uid="{00000000-0006-0000-0100-0000AD000000}">
      <text>
        <r>
          <rPr>
            <b/>
            <sz val="9"/>
            <rFont val="Tahoma"/>
            <family val="2"/>
          </rPr>
          <t>Tegus (SL):</t>
        </r>
        <r>
          <rPr>
            <sz val="9"/>
            <rFont val="Tahoma"/>
            <family val="2"/>
          </rPr>
          <t xml:space="preserve">
Reported as $5.40</t>
        </r>
      </text>
    </comment>
    <comment ref="AU297" authorId="0" shapeId="0" xr:uid="{00000000-0006-0000-0100-0000AE000000}">
      <text>
        <r>
          <rPr>
            <b/>
            <sz val="9"/>
            <rFont val="Tahoma"/>
            <family val="2"/>
          </rPr>
          <t>Tegus (OG):</t>
        </r>
        <r>
          <rPr>
            <sz val="9"/>
            <rFont val="Tahoma"/>
            <family val="2"/>
          </rPr>
          <t xml:space="preserve">
reported as $11.59</t>
        </r>
      </text>
    </comment>
    <comment ref="AX297" authorId="0" shapeId="0" xr:uid="{00000000-0006-0000-0100-0000AF000000}">
      <text>
        <r>
          <rPr>
            <b/>
            <sz val="9"/>
            <rFont val="Tahoma"/>
            <family val="2"/>
          </rPr>
          <t>Tegus (HN):</t>
        </r>
        <r>
          <rPr>
            <sz val="9"/>
            <rFont val="Tahoma"/>
            <family val="2"/>
          </rPr>
          <t xml:space="preserve">
Reported as $2.24</t>
        </r>
      </text>
    </comment>
    <comment ref="AZ297" authorId="0" shapeId="0" xr:uid="{00000000-0006-0000-0100-0000B0000000}">
      <text>
        <r>
          <rPr>
            <b/>
            <sz val="9"/>
            <rFont val="Tahoma"/>
            <family val="2"/>
          </rPr>
          <t>Tegus (AS):</t>
        </r>
        <r>
          <rPr>
            <sz val="9"/>
            <rFont val="Tahoma"/>
            <family val="2"/>
          </rPr>
          <t xml:space="preserve">
Reported as $11.63</t>
        </r>
      </text>
    </comment>
    <comment ref="BB297" authorId="0" shapeId="0" xr:uid="{00000000-0006-0000-0100-0000B1000000}">
      <text>
        <r>
          <rPr>
            <b/>
            <sz val="9"/>
            <rFont val="Tahoma"/>
            <family val="2"/>
          </rPr>
          <t>Tegus (SHK):</t>
        </r>
        <r>
          <rPr>
            <sz val="9"/>
            <rFont val="Tahoma"/>
            <family val="2"/>
          </rPr>
          <t xml:space="preserve">
Reported as $ 2.38</t>
        </r>
      </text>
    </comment>
    <comment ref="BC297" authorId="0" shapeId="0" xr:uid="{00000000-0006-0000-0100-0000B2000000}">
      <text>
        <r>
          <rPr>
            <b/>
            <sz val="9"/>
            <rFont val="Tahoma"/>
            <family val="2"/>
          </rPr>
          <t>Tegus (KuB):</t>
        </r>
        <r>
          <rPr>
            <sz val="9"/>
            <rFont val="Tahoma"/>
            <family val="2"/>
          </rPr>
          <t xml:space="preserve">
Reported as $ 2.45.</t>
        </r>
      </text>
    </comment>
    <comment ref="BE297" authorId="0" shapeId="0" xr:uid="{00000000-0006-0000-0100-0000B3000000}">
      <text>
        <r>
          <rPr>
            <b/>
            <sz val="9"/>
            <rFont val="Tahoma"/>
            <family val="2"/>
          </rPr>
          <t>Tegus (FV):</t>
        </r>
        <r>
          <rPr>
            <sz val="9"/>
            <rFont val="Tahoma"/>
            <family val="2"/>
          </rPr>
          <t xml:space="preserve">
Reported as $10.56</t>
        </r>
      </text>
    </comment>
    <comment ref="AT300" authorId="0" shapeId="0" xr:uid="{00000000-0006-0000-0100-0000B4000000}">
      <text>
        <r>
          <rPr>
            <b/>
            <sz val="9"/>
            <rFont val="Tahoma"/>
            <family val="2"/>
          </rPr>
          <t>Tegus (OG):</t>
        </r>
        <r>
          <rPr>
            <sz val="9"/>
            <rFont val="Tahoma"/>
            <family val="2"/>
          </rPr>
          <t xml:space="preserve">
backed out</t>
        </r>
      </text>
    </comment>
    <comment ref="AY300" authorId="0" shapeId="0" xr:uid="{00000000-0006-0000-0100-0000B5000000}">
      <text>
        <r>
          <rPr>
            <b/>
            <sz val="9"/>
            <rFont val="Tahoma"/>
            <family val="2"/>
          </rPr>
          <t>Tegus (AS):</t>
        </r>
        <r>
          <rPr>
            <sz val="9"/>
            <rFont val="Tahoma"/>
            <family val="2"/>
          </rPr>
          <t xml:space="preserve">
Backed out</t>
        </r>
      </text>
    </comment>
    <comment ref="A316" authorId="0" shapeId="0" xr:uid="{00000000-0006-0000-0100-0000B6000000}">
      <text>
        <r>
          <rPr>
            <b/>
            <sz val="9"/>
            <rFont val="Tahoma"/>
            <family val="2"/>
          </rPr>
          <t>Tegus:</t>
        </r>
        <r>
          <rPr>
            <sz val="9"/>
            <rFont val="Tahoma"/>
            <family val="2"/>
          </rPr>
          <t xml:space="preserve">
In periods where EPS is negative, this amount is calculated using the closest prior period where EPS was positive.</t>
        </r>
      </text>
    </comment>
    <comment ref="AV323" authorId="0" shapeId="0" xr:uid="{00000000-0006-0000-0100-0000B7000000}">
      <text>
        <r>
          <rPr>
            <b/>
            <sz val="9"/>
            <rFont val="Tahoma"/>
            <family val="2"/>
          </rPr>
          <t>Tegus (SL):</t>
        </r>
        <r>
          <rPr>
            <sz val="9"/>
            <rFont val="Tahoma"/>
            <family val="2"/>
          </rPr>
          <t xml:space="preserve">
Special dividend : $2.0 Regular dividend : $0.56</t>
        </r>
      </text>
    </comment>
    <comment ref="AW323" authorId="0" shapeId="0" xr:uid="{00000000-0006-0000-0100-0000B8000000}">
      <text>
        <r>
          <rPr>
            <b/>
            <sz val="9"/>
            <rFont val="Tahoma"/>
            <family val="2"/>
          </rPr>
          <t>Tegus (SL):</t>
        </r>
        <r>
          <rPr>
            <sz val="9"/>
            <rFont val="Tahoma"/>
            <family val="2"/>
          </rPr>
          <t xml:space="preserve">
Regular cash dividend paid on April 25, 2022: $0.56/Share Special dividend to be paid on May 27, 2022: $8.0/Share</t>
        </r>
      </text>
    </comment>
    <comment ref="BA323" authorId="0" shapeId="0" xr:uid="{00000000-0006-0000-0100-0000B9000000}">
      <text>
        <r>
          <rPr>
            <b/>
            <sz val="9"/>
            <rFont val="Tahoma"/>
            <family val="2"/>
          </rPr>
          <t>Tegus (KuB):</t>
        </r>
        <r>
          <rPr>
            <sz val="9"/>
            <rFont val="Tahoma"/>
            <family val="2"/>
          </rPr>
          <t xml:space="preserve">
Special cash dividend of $4.00 per share declared; payable February 28, 2023</t>
        </r>
      </text>
    </comment>
    <comment ref="BD323" authorId="0" shapeId="0" xr:uid="{00000000-0006-0000-0100-0000BA000000}">
      <text>
        <r>
          <rPr>
            <b/>
            <sz val="9"/>
            <rFont val="Tahoma"/>
            <family val="2"/>
          </rPr>
          <t>Tegus (FV):</t>
        </r>
        <r>
          <rPr>
            <sz val="9"/>
            <rFont val="Tahoma"/>
            <family val="2"/>
          </rPr>
          <t xml:space="preserve">
Includes 1.50 per share special dividend paid.</t>
        </r>
      </text>
    </comment>
    <comment ref="BF323" authorId="0" shapeId="0" xr:uid="{00000000-0006-0000-0100-0000BB000000}">
      <text>
        <r>
          <rPr>
            <b/>
            <sz val="9"/>
            <rFont val="Tahoma"/>
            <family val="2"/>
          </rPr>
          <t>Tegus (FV):</t>
        </r>
        <r>
          <rPr>
            <sz val="9"/>
            <rFont val="Tahoma"/>
            <family val="2"/>
          </rPr>
          <t xml:space="preserve">
Special cash dividend of $2.50 per share</t>
        </r>
      </text>
    </comment>
    <comment ref="BI323" authorId="2" shapeId="0" xr:uid="{8F7FFEF5-B3B0-4D23-AE16-35F4FD2FD133}">
      <text>
        <r>
          <rPr>
            <b/>
            <sz val="9"/>
            <rFont val="Tahoma"/>
            <family val="2"/>
            <charset val="1"/>
          </rPr>
          <t>Tegus (AkS):</t>
        </r>
        <r>
          <rPr>
            <sz val="9"/>
            <rFont val="Tahoma"/>
            <family val="2"/>
            <charset val="1"/>
          </rPr>
          <t xml:space="preserve">
Including special dividend of $4</t>
        </r>
      </text>
    </comment>
    <comment ref="AQ339" authorId="0" shapeId="0" xr:uid="{00000000-0006-0000-0100-0000BC000000}">
      <text>
        <r>
          <rPr>
            <b/>
            <sz val="9"/>
            <rFont val="Tahoma"/>
            <family val="2"/>
          </rPr>
          <t>Tegus (HN):</t>
        </r>
        <r>
          <rPr>
            <sz val="9"/>
            <rFont val="Tahoma"/>
            <family val="2"/>
          </rPr>
          <t xml:space="preserve">
Hardcoded. Includes goodwill from discontinued operations</t>
        </r>
      </text>
    </comment>
    <comment ref="AB343" authorId="0" shapeId="0" xr:uid="{00000000-0006-0000-0100-0000BD000000}">
      <text>
        <r>
          <rPr>
            <b/>
            <sz val="9"/>
            <rFont val="Tahoma"/>
            <family val="2"/>
          </rPr>
          <t>Tegus (JZ):</t>
        </r>
        <r>
          <rPr>
            <sz val="9"/>
            <rFont val="Tahoma"/>
            <family val="2"/>
          </rPr>
          <t xml:space="preserve">
reported as $58.32, due to rounding error </t>
        </r>
      </text>
    </comment>
    <comment ref="AH343" authorId="0" shapeId="0" xr:uid="{00000000-0006-0000-0100-0000BE000000}">
      <text>
        <r>
          <rPr>
            <b/>
            <sz val="9"/>
            <rFont val="Tahoma"/>
            <family val="2"/>
          </rPr>
          <t>Tegus (OG):</t>
        </r>
        <r>
          <rPr>
            <sz val="9"/>
            <rFont val="Tahoma"/>
            <family val="2"/>
          </rPr>
          <t xml:space="preserve">
Reported as $67.72, rounding error</t>
        </r>
      </text>
    </comment>
    <comment ref="AI343" authorId="0" shapeId="0" xr:uid="{00000000-0006-0000-0100-0000BF000000}">
      <text>
        <r>
          <rPr>
            <b/>
            <sz val="9"/>
            <rFont val="Tahoma"/>
            <family val="2"/>
          </rPr>
          <t>Tegus (OG):</t>
        </r>
        <r>
          <rPr>
            <sz val="9"/>
            <rFont val="Tahoma"/>
            <family val="2"/>
          </rPr>
          <t xml:space="preserve">
Reported as $70.14</t>
        </r>
      </text>
    </comment>
    <comment ref="AJ343" authorId="0" shapeId="0" xr:uid="{00000000-0006-0000-0100-0000C0000000}">
      <text>
        <r>
          <rPr>
            <b/>
            <sz val="9"/>
            <rFont val="Tahoma"/>
            <family val="2"/>
          </rPr>
          <t>Tegus (ML):</t>
        </r>
        <r>
          <rPr>
            <sz val="9"/>
            <rFont val="Tahoma"/>
            <family val="2"/>
          </rPr>
          <t xml:space="preserve">
Reported as $69.43</t>
        </r>
      </text>
    </comment>
    <comment ref="AK343" authorId="0" shapeId="0" xr:uid="{00000000-0006-0000-0100-0000C1000000}">
      <text>
        <r>
          <rPr>
            <b/>
            <sz val="9"/>
            <rFont val="Tahoma"/>
            <family val="2"/>
          </rPr>
          <t>Tegus (ML):</t>
        </r>
        <r>
          <rPr>
            <sz val="9"/>
            <rFont val="Tahoma"/>
            <family val="2"/>
          </rPr>
          <t xml:space="preserve">
Reported as $69.43</t>
        </r>
      </text>
    </comment>
    <comment ref="AL343" authorId="0" shapeId="0" xr:uid="{00000000-0006-0000-0100-0000C2000000}">
      <text>
        <r>
          <rPr>
            <b/>
            <sz val="9"/>
            <rFont val="Tahoma"/>
            <family val="2"/>
          </rPr>
          <t>Tegus (OG):</t>
        </r>
        <r>
          <rPr>
            <sz val="9"/>
            <rFont val="Tahoma"/>
            <family val="2"/>
          </rPr>
          <t xml:space="preserve">
reported as $56.18</t>
        </r>
      </text>
    </comment>
    <comment ref="AO343" authorId="0" shapeId="0" xr:uid="{00000000-0006-0000-0100-0000C3000000}">
      <text>
        <r>
          <rPr>
            <b/>
            <sz val="9"/>
            <rFont val="Tahoma"/>
            <family val="2"/>
          </rPr>
          <t>Tegus (ArS):</t>
        </r>
        <r>
          <rPr>
            <sz val="9"/>
            <rFont val="Tahoma"/>
            <family val="2"/>
          </rPr>
          <t xml:space="preserve">
Reported as $78.62</t>
        </r>
      </text>
    </comment>
    <comment ref="AP343" authorId="0" shapeId="0" xr:uid="{00000000-0006-0000-0100-0000C4000000}">
      <text>
        <r>
          <rPr>
            <b/>
            <sz val="9"/>
            <rFont val="Tahoma"/>
            <family val="2"/>
          </rPr>
          <t>Tegus (ArS):</t>
        </r>
        <r>
          <rPr>
            <sz val="9"/>
            <rFont val="Tahoma"/>
            <family val="2"/>
          </rPr>
          <t xml:space="preserve">
Reported as $78.62</t>
        </r>
      </text>
    </comment>
    <comment ref="BB343" authorId="0" shapeId="0" xr:uid="{00000000-0006-0000-0100-0000C5000000}">
      <text>
        <r>
          <rPr>
            <b/>
            <sz val="9"/>
            <rFont val="Tahoma"/>
            <family val="2"/>
          </rPr>
          <t>Tegus (SHK):</t>
        </r>
        <r>
          <rPr>
            <sz val="9"/>
            <rFont val="Tahoma"/>
            <family val="2"/>
          </rPr>
          <t xml:space="preserve">
Reported as $ 47.06</t>
        </r>
      </text>
    </comment>
    <comment ref="BC343" authorId="0" shapeId="0" xr:uid="{00000000-0006-0000-0100-0000C6000000}">
      <text>
        <r>
          <rPr>
            <b/>
            <sz val="9"/>
            <rFont val="Tahoma"/>
            <family val="2"/>
          </rPr>
          <t>Tegus (KuB):</t>
        </r>
        <r>
          <rPr>
            <sz val="9"/>
            <rFont val="Tahoma"/>
            <family val="2"/>
          </rPr>
          <t xml:space="preserve">
Reported as $ 47.31.</t>
        </r>
      </text>
    </comment>
    <comment ref="BF343" authorId="0" shapeId="0" xr:uid="{00000000-0006-0000-0100-0000C7000000}">
      <text>
        <r>
          <rPr>
            <b/>
            <sz val="9"/>
            <rFont val="Tahoma"/>
            <family val="2"/>
          </rPr>
          <t>Tegus (VK):</t>
        </r>
        <r>
          <rPr>
            <sz val="9"/>
            <rFont val="Tahoma"/>
            <family val="2"/>
          </rPr>
          <t xml:space="preserve">
Reported as 50.57. </t>
        </r>
      </text>
    </comment>
    <comment ref="E345" authorId="0" shapeId="0" xr:uid="{00000000-0006-0000-0100-0000C8000000}">
      <text>
        <r>
          <rPr>
            <b/>
            <sz val="9"/>
            <rFont val="Tahoma"/>
            <family val="2"/>
          </rPr>
          <t>Tegus (HH):</t>
        </r>
        <r>
          <rPr>
            <sz val="9"/>
            <rFont val="Tahoma"/>
            <family val="2"/>
          </rPr>
          <t xml:space="preserve">
Reported as 36.24</t>
        </r>
      </text>
    </comment>
    <comment ref="H345" authorId="0" shapeId="0" xr:uid="{00000000-0006-0000-0100-0000C9000000}">
      <text>
        <r>
          <rPr>
            <b/>
            <sz val="9"/>
            <rFont val="Tahoma"/>
            <family val="2"/>
          </rPr>
          <t>Tegus (HH):</t>
        </r>
        <r>
          <rPr>
            <sz val="9"/>
            <rFont val="Tahoma"/>
            <family val="2"/>
          </rPr>
          <t xml:space="preserve">
Reported as 44.42</t>
        </r>
      </text>
    </comment>
    <comment ref="M345" authorId="0" shapeId="0" xr:uid="{00000000-0006-0000-0100-0000CA000000}">
      <text>
        <r>
          <rPr>
            <b/>
            <sz val="9"/>
            <rFont val="Tahoma"/>
            <family val="2"/>
          </rPr>
          <t>Tegus (HH):</t>
        </r>
        <r>
          <rPr>
            <sz val="9"/>
            <rFont val="Tahoma"/>
            <family val="2"/>
          </rPr>
          <t xml:space="preserve">
Reported as 45.63</t>
        </r>
      </text>
    </comment>
    <comment ref="O345" authorId="0" shapeId="0" xr:uid="{00000000-0006-0000-0100-0000CB000000}">
      <text>
        <r>
          <rPr>
            <b/>
            <sz val="9"/>
            <rFont val="Tahoma"/>
            <family val="2"/>
          </rPr>
          <t>Tegus (HH):</t>
        </r>
        <r>
          <rPr>
            <sz val="9"/>
            <rFont val="Tahoma"/>
            <family val="2"/>
          </rPr>
          <t xml:space="preserve">
Reported as 46.12</t>
        </r>
      </text>
    </comment>
    <comment ref="P345" authorId="0" shapeId="0" xr:uid="{00000000-0006-0000-0100-0000CC000000}">
      <text>
        <r>
          <rPr>
            <b/>
            <sz val="9"/>
            <rFont val="Tahoma"/>
            <family val="2"/>
          </rPr>
          <t>Tegus (HH):</t>
        </r>
        <r>
          <rPr>
            <sz val="9"/>
            <rFont val="Tahoma"/>
            <family val="2"/>
          </rPr>
          <t xml:space="preserve">
Reported as 46.49</t>
        </r>
      </text>
    </comment>
    <comment ref="Q345" authorId="0" shapeId="0" xr:uid="{00000000-0006-0000-0100-0000CD000000}">
      <text>
        <r>
          <rPr>
            <b/>
            <sz val="9"/>
            <rFont val="Tahoma"/>
            <family val="2"/>
          </rPr>
          <t>Tegus (HH):</t>
        </r>
        <r>
          <rPr>
            <sz val="9"/>
            <rFont val="Tahoma"/>
            <family val="2"/>
          </rPr>
          <t xml:space="preserve">
Reported as 46.49</t>
        </r>
      </text>
    </comment>
    <comment ref="S345" authorId="0" shapeId="0" xr:uid="{00000000-0006-0000-0100-0000CE000000}">
      <text>
        <r>
          <rPr>
            <b/>
            <sz val="9"/>
            <rFont val="Tahoma"/>
            <family val="2"/>
          </rPr>
          <t>Tegus (HH):</t>
        </r>
        <r>
          <rPr>
            <sz val="9"/>
            <rFont val="Tahoma"/>
            <family val="2"/>
          </rPr>
          <t xml:space="preserve">
Reported as 47.34</t>
        </r>
      </text>
    </comment>
    <comment ref="W345" authorId="0" shapeId="0" xr:uid="{00000000-0006-0000-0100-0000CF000000}">
      <text>
        <r>
          <rPr>
            <b/>
            <sz val="9"/>
            <rFont val="Tahoma"/>
            <family val="2"/>
          </rPr>
          <t>Tegus (HH):</t>
        </r>
        <r>
          <rPr>
            <sz val="9"/>
            <rFont val="Tahoma"/>
            <family val="2"/>
          </rPr>
          <t xml:space="preserve">
Reported as 52.34</t>
        </r>
      </text>
    </comment>
    <comment ref="AB345" authorId="0" shapeId="0" xr:uid="{00000000-0006-0000-0100-0000D0000000}">
      <text>
        <r>
          <rPr>
            <b/>
            <sz val="9"/>
            <rFont val="Tahoma"/>
            <family val="2"/>
          </rPr>
          <t>Tegus (JZ):</t>
        </r>
        <r>
          <rPr>
            <sz val="9"/>
            <rFont val="Tahoma"/>
            <family val="2"/>
          </rPr>
          <t xml:space="preserve">
reported as $52.10, due to rounding error</t>
        </r>
      </text>
    </comment>
    <comment ref="AC345" authorId="0" shapeId="0" xr:uid="{00000000-0006-0000-0100-0000D1000000}">
      <text>
        <r>
          <rPr>
            <b/>
            <sz val="9"/>
            <rFont val="Tahoma"/>
            <family val="2"/>
          </rPr>
          <t>Tegus (JZ):</t>
        </r>
        <r>
          <rPr>
            <sz val="9"/>
            <rFont val="Tahoma"/>
            <family val="2"/>
          </rPr>
          <t xml:space="preserve">
reported as $52.63</t>
        </r>
      </text>
    </comment>
    <comment ref="AH345" authorId="0" shapeId="0" xr:uid="{00000000-0006-0000-0100-0000D2000000}">
      <text>
        <r>
          <rPr>
            <b/>
            <sz val="9"/>
            <rFont val="Tahoma"/>
            <family val="2"/>
          </rPr>
          <t>Tegus (OG):</t>
        </r>
        <r>
          <rPr>
            <sz val="9"/>
            <rFont val="Tahoma"/>
            <family val="2"/>
          </rPr>
          <t xml:space="preserve">
Reported as $55.65, rounding error</t>
        </r>
      </text>
    </comment>
    <comment ref="AJ345" authorId="0" shapeId="0" xr:uid="{00000000-0006-0000-0100-0000D3000000}">
      <text>
        <r>
          <rPr>
            <b/>
            <sz val="9"/>
            <rFont val="Tahoma"/>
            <family val="2"/>
          </rPr>
          <t>Tegus (ML):</t>
        </r>
        <r>
          <rPr>
            <sz val="9"/>
            <rFont val="Tahoma"/>
            <family val="2"/>
          </rPr>
          <t xml:space="preserve">
Reported as $56.93</t>
        </r>
      </text>
    </comment>
    <comment ref="AK345" authorId="0" shapeId="0" xr:uid="{00000000-0006-0000-0100-0000D4000000}">
      <text>
        <r>
          <rPr>
            <b/>
            <sz val="9"/>
            <rFont val="Tahoma"/>
            <family val="2"/>
          </rPr>
          <t>Tegus (ML):</t>
        </r>
        <r>
          <rPr>
            <sz val="9"/>
            <rFont val="Tahoma"/>
            <family val="2"/>
          </rPr>
          <t xml:space="preserve">
Reported as $56.93</t>
        </r>
      </text>
    </comment>
    <comment ref="AO345" authorId="0" shapeId="0" xr:uid="{00000000-0006-0000-0100-0000D5000000}">
      <text>
        <r>
          <rPr>
            <b/>
            <sz val="9"/>
            <rFont val="Tahoma"/>
            <family val="2"/>
          </rPr>
          <t>Tegus (ArS):</t>
        </r>
        <r>
          <rPr>
            <sz val="9"/>
            <rFont val="Tahoma"/>
            <family val="2"/>
          </rPr>
          <t xml:space="preserve">
Reported as $60.82</t>
        </r>
      </text>
    </comment>
    <comment ref="AP345" authorId="0" shapeId="0" xr:uid="{00000000-0006-0000-0100-0000D6000000}">
      <text>
        <r>
          <rPr>
            <b/>
            <sz val="9"/>
            <rFont val="Tahoma"/>
            <family val="2"/>
          </rPr>
          <t>Tegus (ArS):</t>
        </r>
        <r>
          <rPr>
            <sz val="9"/>
            <rFont val="Tahoma"/>
            <family val="2"/>
          </rPr>
          <t xml:space="preserve">
Reported as $60.82</t>
        </r>
      </text>
    </comment>
    <comment ref="AR345" authorId="0" shapeId="0" xr:uid="{00000000-0006-0000-0100-0000D7000000}">
      <text>
        <r>
          <rPr>
            <b/>
            <sz val="9"/>
            <rFont val="Tahoma"/>
            <family val="2"/>
          </rPr>
          <t>Tegus (HN):</t>
        </r>
        <r>
          <rPr>
            <sz val="9"/>
            <rFont val="Tahoma"/>
            <family val="2"/>
          </rPr>
          <t xml:space="preserve">
Reported as $61.27</t>
        </r>
      </text>
    </comment>
    <comment ref="AT345" authorId="0" shapeId="0" xr:uid="{00000000-0006-0000-0100-0000D8000000}">
      <text>
        <r>
          <rPr>
            <b/>
            <sz val="9"/>
            <rFont val="Tahoma"/>
            <family val="2"/>
          </rPr>
          <t>Tegus (SL):</t>
        </r>
        <r>
          <rPr>
            <sz val="9"/>
            <rFont val="Tahoma"/>
            <family val="2"/>
          </rPr>
          <t xml:space="preserve">
Reported as $53.26</t>
        </r>
      </text>
    </comment>
    <comment ref="AU345" authorId="0" shapeId="0" xr:uid="{00000000-0006-0000-0100-0000D9000000}">
      <text>
        <r>
          <rPr>
            <b/>
            <sz val="9"/>
            <rFont val="Tahoma"/>
            <family val="2"/>
          </rPr>
          <t>Tegus (SL):</t>
        </r>
        <r>
          <rPr>
            <sz val="9"/>
            <rFont val="Tahoma"/>
            <family val="2"/>
          </rPr>
          <t xml:space="preserve">
Reported as $53.26</t>
        </r>
      </text>
    </comment>
    <comment ref="AV345" authorId="0" shapeId="0" xr:uid="{00000000-0006-0000-0100-0000DA000000}">
      <text>
        <r>
          <rPr>
            <b/>
            <sz val="9"/>
            <rFont val="Tahoma"/>
            <family val="2"/>
          </rPr>
          <t>Tegus (SL):</t>
        </r>
        <r>
          <rPr>
            <sz val="9"/>
            <rFont val="Tahoma"/>
            <family val="2"/>
          </rPr>
          <t xml:space="preserve">
Reported as $54.02</t>
        </r>
      </text>
    </comment>
    <comment ref="BB345" authorId="0" shapeId="0" xr:uid="{00000000-0006-0000-0100-0000DB000000}">
      <text>
        <r>
          <rPr>
            <b/>
            <sz val="9"/>
            <rFont val="Tahoma"/>
            <family val="2"/>
          </rPr>
          <t>Tegus (SHK):</t>
        </r>
        <r>
          <rPr>
            <sz val="9"/>
            <rFont val="Tahoma"/>
            <family val="2"/>
          </rPr>
          <t xml:space="preserve">
Reported as $ 48.80</t>
        </r>
      </text>
    </comment>
    <comment ref="BF345" authorId="0" shapeId="0" xr:uid="{00000000-0006-0000-0100-0000DC000000}">
      <text>
        <r>
          <rPr>
            <b/>
            <sz val="9"/>
            <rFont val="Tahoma"/>
            <family val="2"/>
          </rPr>
          <t>Tegus (VK):</t>
        </r>
        <r>
          <rPr>
            <sz val="9"/>
            <rFont val="Tahoma"/>
            <family val="2"/>
          </rPr>
          <t xml:space="preserve">
Tangible, excluding AOCI = 48.20. </t>
        </r>
      </text>
    </comment>
    <comment ref="BG345" authorId="0" shapeId="0" xr:uid="{00000000-0006-0000-0100-0000DD000000}">
      <text>
        <r>
          <rPr>
            <b/>
            <sz val="9"/>
            <rFont val="Tahoma"/>
            <family val="2"/>
          </rPr>
          <t>Tegus (KuB):</t>
        </r>
        <r>
          <rPr>
            <sz val="9"/>
            <rFont val="Tahoma"/>
            <family val="2"/>
          </rPr>
          <t xml:space="preserve">
Tangible, excluding AOCI = 50.13. </t>
        </r>
      </text>
    </comment>
    <comment ref="BH345" authorId="2" shapeId="0" xr:uid="{4EA65D82-CE14-40E1-9A99-41BFB9A968D3}">
      <text>
        <r>
          <rPr>
            <b/>
            <sz val="9"/>
            <rFont val="Tahoma"/>
            <family val="2"/>
          </rPr>
          <t>Tegus (AkS):</t>
        </r>
        <r>
          <rPr>
            <sz val="9"/>
            <rFont val="Tahoma"/>
            <family val="2"/>
          </rPr>
          <t xml:space="preserve">
Tangible book value exc. AOCI is $51.72</t>
        </r>
      </text>
    </comment>
    <comment ref="AL529" authorId="0" shapeId="0" xr:uid="{00000000-0006-0000-0100-0000DE000000}">
      <text>
        <r>
          <rPr>
            <b/>
            <sz val="9"/>
            <rFont val="Tahoma"/>
            <family val="2"/>
          </rPr>
          <t>Tegus (SL):</t>
        </r>
        <r>
          <rPr>
            <sz val="9"/>
            <rFont val="Tahoma"/>
            <family val="2"/>
          </rPr>
          <t xml:space="preserve">
Unrestated. In Q1-2021, Company announced it is divesting its Annuity business and is reporting results of divestee as discontinued operations going forward and in prior periods. Restated full balance sheets were not provided, thus, this is left unrestated.</t>
        </r>
      </text>
    </comment>
    <comment ref="AM529" authorId="0" shapeId="0" xr:uid="{00000000-0006-0000-0100-0000DF000000}">
      <text>
        <r>
          <rPr>
            <b/>
            <sz val="9"/>
            <rFont val="Tahoma"/>
            <family val="2"/>
          </rPr>
          <t>Tegus (SL):</t>
        </r>
        <r>
          <rPr>
            <sz val="9"/>
            <rFont val="Tahoma"/>
            <family val="2"/>
          </rPr>
          <t xml:space="preserve">
Unrestated. In Q1-2021, Company announced it is divesting its Annuity business and is reporting results of divestee as discontinued operations going forward and in prior periods. Restated full balance sheets were not provided, thus, this is left unrestated.</t>
        </r>
      </text>
    </comment>
    <comment ref="AN529" authorId="0" shapeId="0" xr:uid="{00000000-0006-0000-0100-0000E0000000}">
      <text>
        <r>
          <rPr>
            <b/>
            <sz val="9"/>
            <rFont val="Tahoma"/>
            <family val="2"/>
          </rPr>
          <t>Tegus (SL):</t>
        </r>
        <r>
          <rPr>
            <sz val="9"/>
            <rFont val="Tahoma"/>
            <family val="2"/>
          </rPr>
          <t xml:space="preserve">
Unrestated. In Q1-2021, Company announced it is divesting its Annuity business and is reporting results of divestee as discontinued operations going forward and in prior periods. Restated full balance sheets were not provided, thus, this is left unrestated.</t>
        </r>
      </text>
    </comment>
    <comment ref="AO529" authorId="0" shapeId="0" xr:uid="{00000000-0006-0000-0100-0000E1000000}">
      <text>
        <r>
          <rPr>
            <b/>
            <sz val="9"/>
            <rFont val="Tahoma"/>
            <family val="2"/>
          </rPr>
          <t>Tegus (SL):</t>
        </r>
        <r>
          <rPr>
            <sz val="9"/>
            <rFont val="Tahoma"/>
            <family val="2"/>
          </rPr>
          <t xml:space="preserve">
Unrestated. In Q1-2021, Company announced it is divesting its Annuity business and is reporting results of divestee as discontinued operations going forward and in prior periods. Restated full balance sheets were not provided, thus, this is left unrestated.</t>
        </r>
      </text>
    </comment>
    <comment ref="AP529" authorId="0" shapeId="0" xr:uid="{00000000-0006-0000-0100-0000E2000000}">
      <text>
        <r>
          <rPr>
            <b/>
            <sz val="9"/>
            <rFont val="Tahoma"/>
            <family val="2"/>
          </rPr>
          <t>Tegus (SL):</t>
        </r>
        <r>
          <rPr>
            <sz val="9"/>
            <rFont val="Tahoma"/>
            <family val="2"/>
          </rPr>
          <t xml:space="preserve">
Unrestated. In Q1-2021, Company announced it is divesting its Annuity business and is reporting results of divestee as discontinued operations going forward and in prior periods. Restated full balance sheets were not provided, thus, this is left unrestated.</t>
        </r>
      </text>
    </comment>
    <comment ref="AZ535" authorId="0" shapeId="0" xr:uid="{00000000-0006-0000-0100-0000E3000000}">
      <text>
        <r>
          <rPr>
            <b/>
            <sz val="9"/>
            <rFont val="Tahoma"/>
            <family val="2"/>
          </rPr>
          <t>Tegus (AS):</t>
        </r>
        <r>
          <rPr>
            <sz val="9"/>
            <rFont val="Tahoma"/>
            <family val="2"/>
          </rPr>
          <t xml:space="preserve">
Equity securities- Common stocks and perpetual preferred.</t>
        </r>
      </text>
    </comment>
    <comment ref="BA535" authorId="0" shapeId="0" xr:uid="{00000000-0006-0000-0100-0000E4000000}">
      <text>
        <r>
          <rPr>
            <b/>
            <sz val="9"/>
            <rFont val="Tahoma"/>
            <family val="2"/>
          </rPr>
          <t>Tegus (KuB):</t>
        </r>
        <r>
          <rPr>
            <sz val="9"/>
            <rFont val="Tahoma"/>
            <family val="2"/>
          </rPr>
          <t xml:space="preserve">
Equity securities- Common stocks and perpetual preferred.</t>
        </r>
      </text>
    </comment>
    <comment ref="BB535" authorId="0" shapeId="0" xr:uid="{00000000-0006-0000-0100-0000E5000000}">
      <text>
        <r>
          <rPr>
            <b/>
            <sz val="9"/>
            <rFont val="Tahoma"/>
            <family val="2"/>
          </rPr>
          <t>Tegus (SHK):</t>
        </r>
        <r>
          <rPr>
            <sz val="9"/>
            <rFont val="Tahoma"/>
            <family val="2"/>
          </rPr>
          <t xml:space="preserve">
Equity securities- Common stocks and perpetual preferred.</t>
        </r>
      </text>
    </comment>
    <comment ref="BC535" authorId="0" shapeId="0" xr:uid="{00000000-0006-0000-0100-0000E6000000}">
      <text>
        <r>
          <rPr>
            <b/>
            <sz val="9"/>
            <rFont val="Tahoma"/>
            <family val="2"/>
          </rPr>
          <t>Tegus (SHK):</t>
        </r>
        <r>
          <rPr>
            <sz val="9"/>
            <rFont val="Tahoma"/>
            <family val="2"/>
          </rPr>
          <t xml:space="preserve">
Equity securities- Common stocks and perpetual preferred.</t>
        </r>
      </text>
    </comment>
    <comment ref="BD535" authorId="0" shapeId="0" xr:uid="{00000000-0006-0000-0100-0000E7000000}">
      <text>
        <r>
          <rPr>
            <b/>
            <sz val="9"/>
            <rFont val="Tahoma"/>
            <family val="2"/>
          </rPr>
          <t>Tegus (SHK):</t>
        </r>
        <r>
          <rPr>
            <sz val="9"/>
            <rFont val="Tahoma"/>
            <family val="2"/>
          </rPr>
          <t xml:space="preserve">
Equity securities- Common stocks and perpetual preferred.</t>
        </r>
      </text>
    </comment>
    <comment ref="BE535" authorId="0" shapeId="0" xr:uid="{00000000-0006-0000-0100-0000E8000000}">
      <text>
        <r>
          <rPr>
            <b/>
            <sz val="9"/>
            <rFont val="Tahoma"/>
            <family val="2"/>
          </rPr>
          <t>Tegus (SHK):</t>
        </r>
        <r>
          <rPr>
            <sz val="9"/>
            <rFont val="Tahoma"/>
            <family val="2"/>
          </rPr>
          <t xml:space="preserve">
Equity securities- Common stocks and perpetual preferred.</t>
        </r>
      </text>
    </comment>
    <comment ref="BF535" authorId="0" shapeId="0" xr:uid="{00000000-0006-0000-0100-0000E9000000}">
      <text>
        <r>
          <rPr>
            <b/>
            <sz val="9"/>
            <rFont val="Tahoma"/>
            <family val="2"/>
          </rPr>
          <t>Tegus (SHK):</t>
        </r>
        <r>
          <rPr>
            <sz val="9"/>
            <rFont val="Tahoma"/>
            <family val="2"/>
          </rPr>
          <t xml:space="preserve">
Equity securities- Common stocks and perpetual preferred.</t>
        </r>
      </text>
    </comment>
    <comment ref="BG535" authorId="3" shapeId="0" xr:uid="{00000000-0006-0000-0100-0000EA000000}">
      <text>
        <r>
          <rPr>
            <b/>
            <sz val="9"/>
            <rFont val="Tahoma"/>
            <family val="2"/>
          </rPr>
          <t>Tegus (KKR):</t>
        </r>
        <r>
          <rPr>
            <sz val="9"/>
            <rFont val="Tahoma"/>
            <family val="2"/>
          </rPr>
          <t xml:space="preserve">
Equity securities- Common stocks and perpetual preferred.</t>
        </r>
      </text>
    </comment>
    <comment ref="AL584" authorId="0" shapeId="0" xr:uid="{00000000-0006-0000-0100-0000EB000000}">
      <text>
        <r>
          <rPr>
            <b/>
            <sz val="9"/>
            <rFont val="Tahoma"/>
            <family val="2"/>
          </rPr>
          <t>Tegus (SL):</t>
        </r>
        <r>
          <rPr>
            <sz val="9"/>
            <rFont val="Tahoma"/>
            <family val="2"/>
          </rPr>
          <t xml:space="preserve">
Check modified to account for discontinued operations</t>
        </r>
      </text>
    </comment>
    <comment ref="AM584" authorId="0" shapeId="0" xr:uid="{00000000-0006-0000-0100-0000EC000000}">
      <text>
        <r>
          <rPr>
            <b/>
            <sz val="9"/>
            <rFont val="Tahoma"/>
            <family val="2"/>
          </rPr>
          <t>Tegus (SL):</t>
        </r>
        <r>
          <rPr>
            <sz val="9"/>
            <rFont val="Tahoma"/>
            <family val="2"/>
          </rPr>
          <t xml:space="preserve">
Check modified to account for discontinued operations</t>
        </r>
      </text>
    </comment>
    <comment ref="AN584" authorId="0" shapeId="0" xr:uid="{00000000-0006-0000-0100-0000ED000000}">
      <text>
        <r>
          <rPr>
            <b/>
            <sz val="9"/>
            <rFont val="Tahoma"/>
            <family val="2"/>
          </rPr>
          <t>Tegus (SL):</t>
        </r>
        <r>
          <rPr>
            <sz val="9"/>
            <rFont val="Tahoma"/>
            <family val="2"/>
          </rPr>
          <t xml:space="preserve">
Check modified to account for discontinued operations</t>
        </r>
      </text>
    </comment>
    <comment ref="AO584" authorId="0" shapeId="0" xr:uid="{00000000-0006-0000-0100-0000EE000000}">
      <text>
        <r>
          <rPr>
            <b/>
            <sz val="9"/>
            <rFont val="Tahoma"/>
            <family val="2"/>
          </rPr>
          <t>Tegus (SL):</t>
        </r>
        <r>
          <rPr>
            <sz val="9"/>
            <rFont val="Tahoma"/>
            <family val="2"/>
          </rPr>
          <t xml:space="preserve">
Check modified to account for discontinued operations</t>
        </r>
      </text>
    </comment>
    <comment ref="AP584" authorId="0" shapeId="0" xr:uid="{00000000-0006-0000-0100-0000EF000000}">
      <text>
        <r>
          <rPr>
            <b/>
            <sz val="9"/>
            <rFont val="Tahoma"/>
            <family val="2"/>
          </rPr>
          <t>Tegus (SL):</t>
        </r>
        <r>
          <rPr>
            <sz val="9"/>
            <rFont val="Tahoma"/>
            <family val="2"/>
          </rPr>
          <t xml:space="preserve">
Check modified to account for discontinued operations</t>
        </r>
      </text>
    </comment>
    <comment ref="AQ584" authorId="0" shapeId="0" xr:uid="{00000000-0006-0000-0100-0000F0000000}">
      <text>
        <r>
          <rPr>
            <b/>
            <sz val="9"/>
            <rFont val="Tahoma"/>
            <family val="2"/>
          </rPr>
          <t>Tegus (SL):</t>
        </r>
        <r>
          <rPr>
            <sz val="9"/>
            <rFont val="Tahoma"/>
            <family val="2"/>
          </rPr>
          <t xml:space="preserve">
Check modified to account for discontinued operations</t>
        </r>
      </text>
    </comment>
    <comment ref="AR584" authorId="0" shapeId="0" xr:uid="{00000000-0006-0000-0100-0000F1000000}">
      <text>
        <r>
          <rPr>
            <b/>
            <sz val="9"/>
            <rFont val="Tahoma"/>
            <family val="2"/>
          </rPr>
          <t>Tegus (SL):</t>
        </r>
        <r>
          <rPr>
            <sz val="9"/>
            <rFont val="Tahoma"/>
            <family val="2"/>
          </rPr>
          <t xml:space="preserve">
Check modified to account for discontinued operations</t>
        </r>
      </text>
    </comment>
    <comment ref="AS584" authorId="0" shapeId="0" xr:uid="{00000000-0006-0000-0100-0000F2000000}">
      <text>
        <r>
          <rPr>
            <b/>
            <sz val="9"/>
            <rFont val="Tahoma"/>
            <family val="2"/>
          </rPr>
          <t>Tegus (SL):</t>
        </r>
        <r>
          <rPr>
            <sz val="9"/>
            <rFont val="Tahoma"/>
            <family val="2"/>
          </rPr>
          <t xml:space="preserve">
Check modified to account for discontinued operations</t>
        </r>
      </text>
    </comment>
    <comment ref="AT584" authorId="0" shapeId="0" xr:uid="{00000000-0006-0000-0100-0000F3000000}">
      <text>
        <r>
          <rPr>
            <b/>
            <sz val="9"/>
            <rFont val="Tahoma"/>
            <family val="2"/>
          </rPr>
          <t>Tegus (SL):</t>
        </r>
        <r>
          <rPr>
            <sz val="9"/>
            <rFont val="Tahoma"/>
            <family val="2"/>
          </rPr>
          <t xml:space="preserve">
Check modified to account for discontinued operations</t>
        </r>
      </text>
    </comment>
    <comment ref="AU584" authorId="0" shapeId="0" xr:uid="{00000000-0006-0000-0100-0000F4000000}">
      <text>
        <r>
          <rPr>
            <b/>
            <sz val="9"/>
            <rFont val="Tahoma"/>
            <family val="2"/>
          </rPr>
          <t>Tegus (SL):</t>
        </r>
        <r>
          <rPr>
            <sz val="9"/>
            <rFont val="Tahoma"/>
            <family val="2"/>
          </rPr>
          <t xml:space="preserve">
Check modified to account for discontinued operations</t>
        </r>
      </text>
    </comment>
    <comment ref="AR587" authorId="0" shapeId="0" xr:uid="{00000000-0006-0000-0100-0000F5000000}">
      <text>
        <r>
          <rPr>
            <b/>
            <sz val="9"/>
            <rFont val="Tahoma"/>
            <family val="2"/>
          </rPr>
          <t>Tegus (HN):</t>
        </r>
        <r>
          <rPr>
            <sz val="9"/>
            <rFont val="Tahoma"/>
            <family val="2"/>
          </rPr>
          <t xml:space="preserve">
As reported</t>
        </r>
      </text>
    </comment>
    <comment ref="AS587" authorId="0" shapeId="0" xr:uid="{00000000-0006-0000-0100-0000F6000000}">
      <text>
        <r>
          <rPr>
            <b/>
            <sz val="9"/>
            <rFont val="Tahoma"/>
            <family val="2"/>
          </rPr>
          <t>Tegus (HN):</t>
        </r>
        <r>
          <rPr>
            <sz val="9"/>
            <rFont val="Tahoma"/>
            <family val="2"/>
          </rPr>
          <t xml:space="preserve">
As reported</t>
        </r>
      </text>
    </comment>
    <comment ref="AT587" authorId="0" shapeId="0" xr:uid="{00000000-0006-0000-0100-0000F7000000}">
      <text>
        <r>
          <rPr>
            <b/>
            <sz val="9"/>
            <rFont val="Tahoma"/>
            <family val="2"/>
          </rPr>
          <t>Tegus (OG):</t>
        </r>
        <r>
          <rPr>
            <sz val="9"/>
            <rFont val="Tahoma"/>
            <family val="2"/>
          </rPr>
          <t xml:space="preserve">
as reported</t>
        </r>
      </text>
    </comment>
    <comment ref="AU587" authorId="0" shapeId="0" xr:uid="{00000000-0006-0000-0100-0000F8000000}">
      <text>
        <r>
          <rPr>
            <b/>
            <sz val="9"/>
            <rFont val="Tahoma"/>
            <family val="2"/>
          </rPr>
          <t>Tegus (OG):</t>
        </r>
        <r>
          <rPr>
            <sz val="9"/>
            <rFont val="Tahoma"/>
            <family val="2"/>
          </rPr>
          <t xml:space="preserve">
as reported</t>
        </r>
      </text>
    </comment>
    <comment ref="AV587" authorId="0" shapeId="0" xr:uid="{00000000-0006-0000-0100-0000F9000000}">
      <text>
        <r>
          <rPr>
            <b/>
            <sz val="9"/>
            <rFont val="Tahoma"/>
            <family val="2"/>
          </rPr>
          <t>Tegus (SL):</t>
        </r>
        <r>
          <rPr>
            <sz val="9"/>
            <rFont val="Tahoma"/>
            <family val="2"/>
          </rPr>
          <t xml:space="preserve">
as reported</t>
        </r>
      </text>
    </comment>
    <comment ref="AW587" authorId="0" shapeId="0" xr:uid="{00000000-0006-0000-0100-0000FA000000}">
      <text>
        <r>
          <rPr>
            <b/>
            <sz val="9"/>
            <rFont val="Tahoma"/>
            <family val="2"/>
          </rPr>
          <t>Tegus (SL):</t>
        </r>
        <r>
          <rPr>
            <sz val="9"/>
            <rFont val="Tahoma"/>
            <family val="2"/>
          </rPr>
          <t xml:space="preserve">
as reported</t>
        </r>
      </text>
    </comment>
    <comment ref="AX587" authorId="0" shapeId="0" xr:uid="{00000000-0006-0000-0100-0000FB000000}">
      <text>
        <r>
          <rPr>
            <b/>
            <sz val="9"/>
            <rFont val="Tahoma"/>
            <family val="2"/>
          </rPr>
          <t>Tegus (KuB):</t>
        </r>
        <r>
          <rPr>
            <sz val="9"/>
            <rFont val="Tahoma"/>
            <family val="2"/>
          </rPr>
          <t xml:space="preserve">
as reported</t>
        </r>
      </text>
    </comment>
    <comment ref="AY587" authorId="0" shapeId="0" xr:uid="{00000000-0006-0000-0100-0000FC000000}">
      <text>
        <r>
          <rPr>
            <b/>
            <sz val="9"/>
            <rFont val="Tahoma"/>
            <family val="2"/>
          </rPr>
          <t>Tegus (AS):</t>
        </r>
        <r>
          <rPr>
            <sz val="9"/>
            <rFont val="Tahoma"/>
            <family val="2"/>
          </rPr>
          <t xml:space="preserve">
as reported</t>
        </r>
      </text>
    </comment>
    <comment ref="AZ587" authorId="0" shapeId="0" xr:uid="{00000000-0006-0000-0100-0000FD000000}">
      <text>
        <r>
          <rPr>
            <b/>
            <sz val="9"/>
            <rFont val="Tahoma"/>
            <family val="2"/>
          </rPr>
          <t>Tegus (AS):</t>
        </r>
        <r>
          <rPr>
            <sz val="9"/>
            <rFont val="Tahoma"/>
            <family val="2"/>
          </rPr>
          <t xml:space="preserve">
as reported</t>
        </r>
      </text>
    </comment>
    <comment ref="BA587" authorId="0" shapeId="0" xr:uid="{00000000-0006-0000-0100-0000FE000000}">
      <text>
        <r>
          <rPr>
            <b/>
            <sz val="9"/>
            <rFont val="Tahoma"/>
            <family val="2"/>
          </rPr>
          <t>Tegus (AS):</t>
        </r>
        <r>
          <rPr>
            <sz val="9"/>
            <rFont val="Tahoma"/>
            <family val="2"/>
          </rPr>
          <t xml:space="preserve">
as reported</t>
        </r>
      </text>
    </comment>
    <comment ref="BB587" authorId="0" shapeId="0" xr:uid="{00000000-0006-0000-0100-0000FF000000}">
      <text>
        <r>
          <rPr>
            <b/>
            <sz val="9"/>
            <rFont val="Tahoma"/>
            <family val="2"/>
          </rPr>
          <t>Tegus (AS):</t>
        </r>
        <r>
          <rPr>
            <sz val="9"/>
            <rFont val="Tahoma"/>
            <family val="2"/>
          </rPr>
          <t xml:space="preserve">
as reported</t>
        </r>
      </text>
    </comment>
    <comment ref="BC587" authorId="0" shapeId="0" xr:uid="{00000000-0006-0000-0100-000000010000}">
      <text>
        <r>
          <rPr>
            <b/>
            <sz val="9"/>
            <rFont val="Tahoma"/>
            <family val="2"/>
          </rPr>
          <t>Tegus (KuB):</t>
        </r>
        <r>
          <rPr>
            <sz val="9"/>
            <rFont val="Tahoma"/>
            <family val="2"/>
          </rPr>
          <t xml:space="preserve">
As reported.</t>
        </r>
      </text>
    </comment>
    <comment ref="BD587" authorId="0" shapeId="0" xr:uid="{00000000-0006-0000-0100-000001010000}">
      <text>
        <r>
          <rPr>
            <b/>
            <sz val="9"/>
            <rFont val="Tahoma"/>
            <family val="2"/>
          </rPr>
          <t>Tegus (KuB):</t>
        </r>
        <r>
          <rPr>
            <sz val="9"/>
            <rFont val="Tahoma"/>
            <family val="2"/>
          </rPr>
          <t xml:space="preserve">
As reported.</t>
        </r>
      </text>
    </comment>
    <comment ref="BE587" authorId="0" shapeId="0" xr:uid="{00000000-0006-0000-0100-000002010000}">
      <text>
        <r>
          <rPr>
            <b/>
            <sz val="9"/>
            <rFont val="Tahoma"/>
            <family val="2"/>
          </rPr>
          <t>Tegus (KuB):</t>
        </r>
        <r>
          <rPr>
            <sz val="9"/>
            <rFont val="Tahoma"/>
            <family val="2"/>
          </rPr>
          <t xml:space="preserve">
As reported.</t>
        </r>
      </text>
    </comment>
    <comment ref="BF587" authorId="0" shapeId="0" xr:uid="{00000000-0006-0000-0100-000003010000}">
      <text>
        <r>
          <rPr>
            <b/>
            <sz val="9"/>
            <rFont val="Tahoma"/>
            <family val="2"/>
          </rPr>
          <t>Tegus (KuB):</t>
        </r>
        <r>
          <rPr>
            <sz val="9"/>
            <rFont val="Tahoma"/>
            <family val="2"/>
          </rPr>
          <t xml:space="preserve">
As reported.</t>
        </r>
      </text>
    </comment>
    <comment ref="BG587" authorId="0" shapeId="0" xr:uid="{00000000-0006-0000-0100-000004010000}">
      <text>
        <r>
          <rPr>
            <b/>
            <sz val="9"/>
            <rFont val="Tahoma"/>
            <family val="2"/>
          </rPr>
          <t>Tegus (KKR):</t>
        </r>
        <r>
          <rPr>
            <sz val="9"/>
            <rFont val="Tahoma"/>
            <family val="2"/>
          </rPr>
          <t xml:space="preserve">
As reported.</t>
        </r>
      </text>
    </comment>
    <comment ref="BH587" authorId="2" shapeId="0" xr:uid="{55B934F3-FE5F-417D-854A-0D1C2B6E6084}">
      <text>
        <r>
          <rPr>
            <b/>
            <sz val="9"/>
            <rFont val="Tahoma"/>
            <family val="2"/>
            <charset val="1"/>
          </rPr>
          <t>Tegus (AkS):</t>
        </r>
        <r>
          <rPr>
            <sz val="9"/>
            <rFont val="Tahoma"/>
            <family val="2"/>
            <charset val="1"/>
          </rPr>
          <t xml:space="preserve">
as reported</t>
        </r>
      </text>
    </comment>
    <comment ref="BJ587" authorId="0" shapeId="0" xr:uid="{00000000-0006-0000-0100-000005010000}">
      <text>
        <r>
          <rPr>
            <b/>
            <sz val="9"/>
            <rFont val="Tahoma"/>
            <family val="2"/>
          </rPr>
          <t>Tegus (KuB):</t>
        </r>
        <r>
          <rPr>
            <sz val="9"/>
            <rFont val="Tahoma"/>
            <family val="2"/>
          </rPr>
          <t xml:space="preserve">
As reported.</t>
        </r>
      </text>
    </comment>
    <comment ref="X598" authorId="0" shapeId="0" xr:uid="{00000000-0006-0000-0100-000006010000}">
      <text>
        <r>
          <rPr>
            <b/>
            <sz val="9"/>
            <rFont val="Tahoma"/>
            <family val="2"/>
          </rPr>
          <t>Tegus (MB):</t>
        </r>
        <r>
          <rPr>
            <sz val="9"/>
            <rFont val="Tahoma"/>
            <family val="2"/>
          </rPr>
          <t xml:space="preserve">
As reported</t>
        </r>
      </text>
    </comment>
    <comment ref="AQ599" authorId="0" shapeId="0" xr:uid="{00000000-0006-0000-0100-000007010000}">
      <text>
        <r>
          <rPr>
            <b/>
            <sz val="9"/>
            <rFont val="Tahoma"/>
            <family val="2"/>
          </rPr>
          <t>Tegus (SL):</t>
        </r>
        <r>
          <rPr>
            <sz val="9"/>
            <rFont val="Tahoma"/>
            <family val="2"/>
          </rPr>
          <t xml:space="preserve">
As reported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Canalyst (HN)</author>
  </authors>
  <commentList>
    <comment ref="D30" authorId="0" shapeId="0" xr:uid="{00000000-0006-0000-0200-000001000000}">
      <text>
        <r>
          <rPr>
            <b/>
            <sz val="9"/>
            <rFont val="Tahoma"/>
            <family val="2"/>
          </rPr>
          <t>Tegus (ArS):</t>
        </r>
        <r>
          <rPr>
            <sz val="9"/>
            <rFont val="Tahoma"/>
            <family val="2"/>
          </rPr>
          <t xml:space="preserve">
Not currently forecasted in the model</t>
        </r>
      </text>
    </comment>
    <comment ref="D31" authorId="0" shapeId="0" xr:uid="{00000000-0006-0000-0200-000002000000}">
      <text>
        <r>
          <rPr>
            <b/>
            <sz val="9"/>
            <rFont val="Tahoma"/>
            <family val="2"/>
          </rPr>
          <t>Tegus (ArS):</t>
        </r>
        <r>
          <rPr>
            <sz val="9"/>
            <rFont val="Tahoma"/>
            <family val="2"/>
          </rPr>
          <t xml:space="preserve">
Not currently forecasted in the model</t>
        </r>
      </text>
    </comment>
    <comment ref="D32" authorId="0" shapeId="0" xr:uid="{00000000-0006-0000-0200-000003000000}">
      <text>
        <r>
          <rPr>
            <b/>
            <sz val="9"/>
            <rFont val="Tahoma"/>
            <family val="2"/>
          </rPr>
          <t>Tegus (ArS):</t>
        </r>
        <r>
          <rPr>
            <sz val="9"/>
            <rFont val="Tahoma"/>
            <family val="2"/>
          </rPr>
          <t xml:space="preserve">
Not currently forecasted in the model</t>
        </r>
      </text>
    </comment>
  </commentList>
</comments>
</file>

<file path=xl/sharedStrings.xml><?xml version="1.0" encoding="utf-8"?>
<sst xmlns="http://schemas.openxmlformats.org/spreadsheetml/2006/main" count="881" uniqueCount="622">
  <si>
    <t xml:space="preserve">Please contact this email for any model-specific questions: </t>
  </si>
  <si>
    <t>support@tegus.com</t>
  </si>
  <si>
    <t>Company Model:</t>
  </si>
  <si>
    <t>Comments on Model:</t>
  </si>
  <si>
    <t xml:space="preserve">Updated: </t>
  </si>
  <si>
    <t>For:</t>
  </si>
  <si>
    <t>Consensus Data and Real-Time Stock Price:</t>
  </si>
  <si>
    <t>Bloomberg</t>
  </si>
  <si>
    <t>Real-Time Stock Price:</t>
  </si>
  <si>
    <t>Stock Price Override:</t>
  </si>
  <si>
    <t>American Financial Group, Inc.</t>
  </si>
  <si>
    <t>USD</t>
  </si>
  <si>
    <t>FY2009</t>
  </si>
  <si>
    <t>Growth Analysis</t>
  </si>
  <si>
    <t>Property and transportation gross written premiums growth, %</t>
  </si>
  <si>
    <t>Specialty casualty gross written premiums growth, %</t>
  </si>
  <si>
    <t>Specialty financial gross written premiums growth, %</t>
  </si>
  <si>
    <t>Total Gross Written Premiums Growth, %</t>
  </si>
  <si>
    <t>Total Net Earned Premiums Growth, %</t>
  </si>
  <si>
    <t>Total Underwriting Income Growth, %</t>
  </si>
  <si>
    <t>Underwriting Income (MD&amp;A/Supplemental)</t>
  </si>
  <si>
    <t>Property and transportation gross written premiums, mm</t>
  </si>
  <si>
    <t>Specialty casualty gross written premiums, mm</t>
  </si>
  <si>
    <t>Specialty financial gross written premiums, mm</t>
  </si>
  <si>
    <t>Other specialty gross written premiums, mm</t>
  </si>
  <si>
    <t>Property and casualty segment gross written premiums, mm</t>
  </si>
  <si>
    <t>Total Gross Written Premiums, mm</t>
  </si>
  <si>
    <t>Property and transportation ceded written premiums, mm</t>
  </si>
  <si>
    <t>Specialty casualty ceded written premiums, mm</t>
  </si>
  <si>
    <t>Specialty financial ceded written premiums, mm</t>
  </si>
  <si>
    <t>Other specialty ceded written premiums, mm</t>
  </si>
  <si>
    <t>Property and casualty segment ceded written premiums, mm</t>
  </si>
  <si>
    <t>Total Ceded Written Premiums, mm</t>
  </si>
  <si>
    <t>Property and transportation net written premiums, mm</t>
  </si>
  <si>
    <t>Specialty casualty net written premiums, mm</t>
  </si>
  <si>
    <t>Specialty financial net written premiums, mm</t>
  </si>
  <si>
    <t>Other speciality net written premiums, mm</t>
  </si>
  <si>
    <t>Property and casualty segment net written premiums, mm</t>
  </si>
  <si>
    <t>Total Net Written Premiums, mm</t>
  </si>
  <si>
    <t>Property and transportation net earned premiums, mm</t>
  </si>
  <si>
    <t>Specialty casualty net earned premiums, mm</t>
  </si>
  <si>
    <t>Specialty financial net earned premiums, mm</t>
  </si>
  <si>
    <t>Other speciality net earned premiums, mm</t>
  </si>
  <si>
    <t>Property and casualty segment net earned premiums, mm</t>
  </si>
  <si>
    <t>Total Net Earned Premiums, mm</t>
  </si>
  <si>
    <t>Property and transportation loss and LAE, mm</t>
  </si>
  <si>
    <t>Specialty casualty loss and LAE, mm</t>
  </si>
  <si>
    <t>Specialty financial loss and LAE, mm</t>
  </si>
  <si>
    <t>Other specialty loss and LAE, mm</t>
  </si>
  <si>
    <t>Property and casualty segment loss and LAE, mm</t>
  </si>
  <si>
    <t>Other charges included in loss and LAE, mm</t>
  </si>
  <si>
    <t>Non-core reclass loss and LAE, mm</t>
  </si>
  <si>
    <t>Total Loss and LAE, mm</t>
  </si>
  <si>
    <t>Property and transportation other operating expense, mm</t>
  </si>
  <si>
    <t>Specialty casualty other operating expense, mm</t>
  </si>
  <si>
    <t>Specialty financial other operating expense, mm</t>
  </si>
  <si>
    <t>Other specialty other operating expense, mm</t>
  </si>
  <si>
    <t>Property and casualty segment other operating expense, mm</t>
  </si>
  <si>
    <t>Holding Co., other and unallocated other operating expense, mm</t>
  </si>
  <si>
    <t>Non-core reclass other operating expense, mm</t>
  </si>
  <si>
    <t>Total Other Operating Expense, mm</t>
  </si>
  <si>
    <t>Property and transportation underwriting expense, mm</t>
  </si>
  <si>
    <t>Specialty casualty underwriting expense, mm</t>
  </si>
  <si>
    <t>Specialty financial underwriting expense, mm</t>
  </si>
  <si>
    <t>Other specialty underwriting expense, mm</t>
  </si>
  <si>
    <t>Property and casualty segment underwriting expense, mm</t>
  </si>
  <si>
    <t>Holding Co., other and unallocated underwriting expense, mm</t>
  </si>
  <si>
    <t>Other charges underwriting expense, mm</t>
  </si>
  <si>
    <t>Non-core reclass underwriting expense, mm</t>
  </si>
  <si>
    <t>Total Underwriting Expense, mm</t>
  </si>
  <si>
    <t>Property and transportation underwriting income, mm</t>
  </si>
  <si>
    <t>Specialty casualty underwriting income, mm</t>
  </si>
  <si>
    <t>Specialty financial underwriting income, mm</t>
  </si>
  <si>
    <t>Other specialty underwriting income, mm</t>
  </si>
  <si>
    <t>Property and casualty segment underwriting income, mm</t>
  </si>
  <si>
    <t>Holding Co., other and unallocated underwriting income, mm</t>
  </si>
  <si>
    <t>Other charges underwriting income, mm</t>
  </si>
  <si>
    <t>Non-core reclass underwriting income, mm</t>
  </si>
  <si>
    <t>Total Underwriting Income, mm</t>
  </si>
  <si>
    <t>Underwriting Ratios</t>
  </si>
  <si>
    <t>Property and transportation net retention ratio, %</t>
  </si>
  <si>
    <t>Specialty casualty net retention ratio, %</t>
  </si>
  <si>
    <t>Specialty financial net retention ratio, %</t>
  </si>
  <si>
    <t>Total Net Retention Ratio, %</t>
  </si>
  <si>
    <t>Property and transportation written premiums earned ratio, %</t>
  </si>
  <si>
    <t>Specialty casualty written premiums earned ratio, %</t>
  </si>
  <si>
    <t>Specialty financial written premiums earned ratio, %</t>
  </si>
  <si>
    <t>Other specialty written premiums earned ratio, %</t>
  </si>
  <si>
    <t>Percentage of Total Written Premiums Earned, %</t>
  </si>
  <si>
    <t>Property and transportation loss and LAE ratio, %</t>
  </si>
  <si>
    <t>Specialty casualty loss and LAE ratio, %</t>
  </si>
  <si>
    <t>Specialty financial loss and LAE ratio, %</t>
  </si>
  <si>
    <t>Other specialty loss and LAE ratio, %</t>
  </si>
  <si>
    <t>Total Loss and LAE Ratio, %</t>
  </si>
  <si>
    <t>Property and transportation other operating expense ratio, %</t>
  </si>
  <si>
    <t>Specialty casualty other operating expense ratio, %</t>
  </si>
  <si>
    <t>Specialty financial other operating expense ratio, %</t>
  </si>
  <si>
    <t>Other specialty other operating expense ratio, %</t>
  </si>
  <si>
    <t>Total Other Operating Expense Ratio, %</t>
  </si>
  <si>
    <t>Property and transportation combined ratio, %</t>
  </si>
  <si>
    <t>Specialty casualty combined ratio, %</t>
  </si>
  <si>
    <t>Specialty financial combined ratio, %</t>
  </si>
  <si>
    <t>Other specialty combined ratio, %</t>
  </si>
  <si>
    <t>Total Combined Ratio, %</t>
  </si>
  <si>
    <t>Unearned Premium Reserves</t>
  </si>
  <si>
    <t>Gross Unearned Premium Reserves, mm</t>
  </si>
  <si>
    <t>Ceded Unearned Premiums, mm</t>
  </si>
  <si>
    <t>Net Unearned Premium Reserves, mm</t>
  </si>
  <si>
    <t>Change in Gross Unearned Premium Reserves, mm</t>
  </si>
  <si>
    <t>Change in Ceded Unearned Premiums, mm</t>
  </si>
  <si>
    <t>Change in Net Unearned Premium Reserves, mm</t>
  </si>
  <si>
    <t>Loss Reserves</t>
  </si>
  <si>
    <t>Gross Loss Reserves, mm</t>
  </si>
  <si>
    <t>Reinsurance Recoverable, mm</t>
  </si>
  <si>
    <t>Net Loss Reserves, mm</t>
  </si>
  <si>
    <t>Loss and LAE Incurred, mm</t>
  </si>
  <si>
    <t>Loss and LAE Paid - Implied, mm</t>
  </si>
  <si>
    <t>Change in Net Loss Reserves, mm</t>
  </si>
  <si>
    <t>Loss Payout Ratio, %</t>
  </si>
  <si>
    <t>Investment Income (FS)</t>
  </si>
  <si>
    <t>Fixed maturities, available for sale at fair value, mm</t>
  </si>
  <si>
    <t>Fixed maturities, trading at fair value, mm</t>
  </si>
  <si>
    <t>Equity securities, available for sale at fair value, mm</t>
  </si>
  <si>
    <t>Equity securities, trading at fair value, mm</t>
  </si>
  <si>
    <t>Mortgage loans, mm</t>
  </si>
  <si>
    <t>Policy loans, mm</t>
  </si>
  <si>
    <t>Equity index call options, mm</t>
  </si>
  <si>
    <t>Real estate and other investments, mm</t>
  </si>
  <si>
    <t>Total Investments, mm</t>
  </si>
  <si>
    <t>Fixed maturities, available for sale at fair value - avg. balance, mm</t>
  </si>
  <si>
    <t>Fixed maturities, trading at fair value - avg. balance, mm</t>
  </si>
  <si>
    <t>Equity securities, available for sale at fair value - avg. balance, mm</t>
  </si>
  <si>
    <t>Equity securities, trading at fair value - avg. balance, mm</t>
  </si>
  <si>
    <t>Mortgage loans - avg. balance, mm</t>
  </si>
  <si>
    <t>Policy loans - avg. balance, mm</t>
  </si>
  <si>
    <t>Equity index call options - avg. balance, mm</t>
  </si>
  <si>
    <t>Real estate and other investments - avg. balance, mm</t>
  </si>
  <si>
    <t>Total Investments - Avg. Balance, mm</t>
  </si>
  <si>
    <t>Fixed maturities, available for sale at fair value - avg. balance growth, %</t>
  </si>
  <si>
    <t>Fixed maturities, trading at fair value - avg. balance growth, %</t>
  </si>
  <si>
    <t>Equity securities, available for sale at fair value - avg. balance growth, %</t>
  </si>
  <si>
    <t>Equity securities, trading at fair value - avg. balance growth, %</t>
  </si>
  <si>
    <t>Mortgage loans - avg. balance growth, %</t>
  </si>
  <si>
    <t>Policy loans - avg. balance growth, %</t>
  </si>
  <si>
    <t>Equity index call options - avg. balance growth, %</t>
  </si>
  <si>
    <t>Real estate and other investments - avg. balance growth, %</t>
  </si>
  <si>
    <t>Total Investments - Avg. Balance Growth, %</t>
  </si>
  <si>
    <t>Fixed maturities yield (annualized), %</t>
  </si>
  <si>
    <t>Equity securities yield (annualized), %</t>
  </si>
  <si>
    <t>Other yield (annualized), %</t>
  </si>
  <si>
    <t>Net Investment Income Yield (Annualized), %</t>
  </si>
  <si>
    <t>Fixed maturities net income, mm</t>
  </si>
  <si>
    <t>Equity securities net income, mm</t>
  </si>
  <si>
    <t>Equity in earnings of partnerships and similar investments net income, mm</t>
  </si>
  <si>
    <t>Other net income, mm</t>
  </si>
  <si>
    <t>Investment expenses, mm</t>
  </si>
  <si>
    <t>Net Investment Income, mm</t>
  </si>
  <si>
    <t>Net Investment Gains, mm</t>
  </si>
  <si>
    <t>Life, accident and health net earned premiums, mm</t>
  </si>
  <si>
    <t>Realized gains on subsidiaries, mm</t>
  </si>
  <si>
    <t>Income of managed investment entities, investment income, mm</t>
  </si>
  <si>
    <t>Income of managed investment entities, Gain (loss) on change in fair value of assets/liabilities, mm</t>
  </si>
  <si>
    <t>Other income, mm</t>
  </si>
  <si>
    <t>Total Other Income, mm</t>
  </si>
  <si>
    <t>Annuity benefits, mm</t>
  </si>
  <si>
    <t>Life, accident and health benefits, mm</t>
  </si>
  <si>
    <t>Annuity and supplemental insurance acquisition expenses, mm</t>
  </si>
  <si>
    <t>Interest charges on borrowed money, mm</t>
  </si>
  <si>
    <t>Expenses of managed investment entities, mm</t>
  </si>
  <si>
    <t>Other expenses, mm</t>
  </si>
  <si>
    <t>Total Other Expenses, mm</t>
  </si>
  <si>
    <t>Income Statement - As Reported</t>
  </si>
  <si>
    <t>Property and casualty insurance net earned premiums</t>
  </si>
  <si>
    <t>Life, accident and health net earned premiums</t>
  </si>
  <si>
    <t>Net investment income</t>
  </si>
  <si>
    <t>Realized gains on securities</t>
  </si>
  <si>
    <t>Realized gains on subsidiaries</t>
  </si>
  <si>
    <t>Income of managed investment entities, investment income</t>
  </si>
  <si>
    <t>Income of managed investment entities, Gain (loss) on change in fair value of assets/liabilities</t>
  </si>
  <si>
    <t>Other income</t>
  </si>
  <si>
    <t>Total Revenues</t>
  </si>
  <si>
    <t>Property and casualty insurance: Losses and loss adjustment expenses</t>
  </si>
  <si>
    <t>Property and casualty insurance: Commissions and other underwriting expenses</t>
  </si>
  <si>
    <t>Annuity benefits</t>
  </si>
  <si>
    <t>Life, accident and health benefits</t>
  </si>
  <si>
    <t>Annuity and supplemental insurance acquisition expenses</t>
  </si>
  <si>
    <t>Interest charges on borrowed money</t>
  </si>
  <si>
    <t>Expenses of managed investment entities</t>
  </si>
  <si>
    <t>Other expenses</t>
  </si>
  <si>
    <t>Total Costs and Expenses</t>
  </si>
  <si>
    <t>Earnings Before Income Taxes</t>
  </si>
  <si>
    <t>Provision for income taxes</t>
  </si>
  <si>
    <t>Net Earnings Including Noncontrolling Interests</t>
  </si>
  <si>
    <t>Less: Net earnings (loss) attributable to noncontrolling interests</t>
  </si>
  <si>
    <t>Net Earnings Attributable to Shareholders</t>
  </si>
  <si>
    <t>IS Check</t>
  </si>
  <si>
    <t>Adjusted Numbers - As Reported</t>
  </si>
  <si>
    <t>Deferred tax</t>
  </si>
  <si>
    <t>Revised Income Statement</t>
  </si>
  <si>
    <t>Net Earned Premiums</t>
  </si>
  <si>
    <t>Net Investment Income</t>
  </si>
  <si>
    <t>Net Investment Gains</t>
  </si>
  <si>
    <t>Other Income</t>
  </si>
  <si>
    <t>Net Revenue</t>
  </si>
  <si>
    <t>Loss and LAE</t>
  </si>
  <si>
    <t>Other Operating Expense</t>
  </si>
  <si>
    <t>Interest Expense</t>
  </si>
  <si>
    <t>Other Items</t>
  </si>
  <si>
    <t>One-time Items</t>
  </si>
  <si>
    <t>EBT</t>
  </si>
  <si>
    <t>Current Tax</t>
  </si>
  <si>
    <t>Deferred Tax</t>
  </si>
  <si>
    <t>Net Income from Continued Operation</t>
  </si>
  <si>
    <t>Earnings from Equity Investments</t>
  </si>
  <si>
    <t>Discontinued Operations</t>
  </si>
  <si>
    <t>Net Income to NCI</t>
  </si>
  <si>
    <t>Earnings to Preferred and Other Securities</t>
  </si>
  <si>
    <t>Net Income to Common Shareholders</t>
  </si>
  <si>
    <t>Adjustments for Convertible Securities</t>
  </si>
  <si>
    <t>Diluted Net Income to Common Shareholders</t>
  </si>
  <si>
    <t>Non-GAAP Adjustments</t>
  </si>
  <si>
    <t>Non-GAAP Adjustments for Dilutive Securities</t>
  </si>
  <si>
    <t>Current Tax Rate</t>
  </si>
  <si>
    <t>Deferred Tax Rate</t>
  </si>
  <si>
    <t>Earnings Per Share - WAB</t>
  </si>
  <si>
    <t>Earnings Per Share - WAD</t>
  </si>
  <si>
    <t>Shares Outstanding - WAB</t>
  </si>
  <si>
    <t>Shares Outstanding - WAD</t>
  </si>
  <si>
    <t>Adjusted Shares Outstanding - WAD</t>
  </si>
  <si>
    <t>Dividend Summary</t>
  </si>
  <si>
    <t>Dividends Paid to Common Shareholders</t>
  </si>
  <si>
    <t>Dividend Per Common Share</t>
  </si>
  <si>
    <t>Payout Ratio</t>
  </si>
  <si>
    <t>Balance Sheet Summary</t>
  </si>
  <si>
    <t>Net Unearned Premium Reserves</t>
  </si>
  <si>
    <t>Net Loss Reserves</t>
  </si>
  <si>
    <t>Net Technical Reserves</t>
  </si>
  <si>
    <t>Total Equity</t>
  </si>
  <si>
    <t>Appropriated retained earnings</t>
  </si>
  <si>
    <t>Total Common Shareholder's Equity</t>
  </si>
  <si>
    <t>Unrealized (gains) related to fixed maturities</t>
  </si>
  <si>
    <t>Goodwill</t>
  </si>
  <si>
    <t>Total Tangible Common Equity</t>
  </si>
  <si>
    <t>Book Value per Common Share</t>
  </si>
  <si>
    <t>Tangible Book Value per Common Share</t>
  </si>
  <si>
    <t>Return on Average Total Assets</t>
  </si>
  <si>
    <t>Return on Average Common Equity</t>
  </si>
  <si>
    <t>Return on Average Tangible Common Equity</t>
  </si>
  <si>
    <t>Statutory Income and Capital - As Reported</t>
  </si>
  <si>
    <t>Property and casualty insurance statutory capital and surplus</t>
  </si>
  <si>
    <t>Life insurance statutory capital and surplus</t>
  </si>
  <si>
    <t>Total statutory capital and surplus</t>
  </si>
  <si>
    <t>Property and casualty insurance statutory net income</t>
  </si>
  <si>
    <t>Life insurance statutory net income</t>
  </si>
  <si>
    <t>Total statutory net income</t>
  </si>
  <si>
    <t>Valuation</t>
  </si>
  <si>
    <t>Avg</t>
  </si>
  <si>
    <t>Cumulative Cash Flow Statement</t>
  </si>
  <si>
    <t>CFO</t>
  </si>
  <si>
    <t>Net earnings, including noncontrolling interests</t>
  </si>
  <si>
    <t>Deferred income taxes</t>
  </si>
  <si>
    <t>Depreciation and amortization</t>
  </si>
  <si>
    <t>Realized (gains) losses on investing activities</t>
  </si>
  <si>
    <t>Net sales of trading securities</t>
  </si>
  <si>
    <t>Deferred annuity and life policy acquisition costs</t>
  </si>
  <si>
    <t>CFO before WC</t>
  </si>
  <si>
    <t>Reinsurance and other receivables</t>
  </si>
  <si>
    <t>Other assets</t>
  </si>
  <si>
    <t>Insurance claims and reserves</t>
  </si>
  <si>
    <t>Payable to reinsurers</t>
  </si>
  <si>
    <t>Other liabilities</t>
  </si>
  <si>
    <t>Managed investment entities’ assets/liabilities</t>
  </si>
  <si>
    <t>Other operating activities, net</t>
  </si>
  <si>
    <t>Net CFO</t>
  </si>
  <si>
    <t>CFI</t>
  </si>
  <si>
    <t>Purchases of fixed maturities</t>
  </si>
  <si>
    <t>Purchases of equity securities</t>
  </si>
  <si>
    <t>Purchases of mortgage loans</t>
  </si>
  <si>
    <t>Purchases of equity index call options and other investments</t>
  </si>
  <si>
    <t>Purchases of real estate, property and equipment</t>
  </si>
  <si>
    <t>Purchases of businesses</t>
  </si>
  <si>
    <t>Proceeds from maturities and redemptions of fixed maturities</t>
  </si>
  <si>
    <t>Proceeds from repayments of mortgage loans</t>
  </si>
  <si>
    <t>Proceeds from sales of fixed maturities</t>
  </si>
  <si>
    <t>Proceeds from sales of equity securities</t>
  </si>
  <si>
    <t>Proceeds from sales and settlements of equity index call options and other investments</t>
  </si>
  <si>
    <t>Proceeds from sales of real estate, property and equipment</t>
  </si>
  <si>
    <t>Change in securities lending collateral</t>
  </si>
  <si>
    <t>Proceeds from sales of businesses</t>
  </si>
  <si>
    <t>Cash and cash equivalents of businesses acquired (sold)</t>
  </si>
  <si>
    <t>Managed investment entities - purchases of investments</t>
  </si>
  <si>
    <t>Managed investment entities - proceeds from sales and redemptions of investments</t>
  </si>
  <si>
    <t>Other investing activities, net</t>
  </si>
  <si>
    <t>Net CFI</t>
  </si>
  <si>
    <t>CFF</t>
  </si>
  <si>
    <t>Annuity receipts</t>
  </si>
  <si>
    <t>Annuity surrenders, benefits and withdrawals</t>
  </si>
  <si>
    <t>Net transfers from variable annuity assets</t>
  </si>
  <si>
    <t>Additional long-term borrowings</t>
  </si>
  <si>
    <t>Reductions of long-term debt</t>
  </si>
  <si>
    <t>Issuances of managed investment entities’ liabilities</t>
  </si>
  <si>
    <t>Change in securities lending obligation</t>
  </si>
  <si>
    <t>Retirements of managed investment entities’ liabilities</t>
  </si>
  <si>
    <t>Issuances of Common Stock</t>
  </si>
  <si>
    <t>Repurchases of Common Stock</t>
  </si>
  <si>
    <t>Cash dividends paid on Common Stock</t>
  </si>
  <si>
    <t>Acquisition of noncontrolling interests in subsidiary</t>
  </si>
  <si>
    <t>Other financing activities, net</t>
  </si>
  <si>
    <t>Net CFF</t>
  </si>
  <si>
    <t>FX</t>
  </si>
  <si>
    <t>Net Change in Cash Balance</t>
  </si>
  <si>
    <t>Beginning Cash Balance</t>
  </si>
  <si>
    <t>Ending Cash Balance</t>
  </si>
  <si>
    <t>Cash Flow Statement</t>
  </si>
  <si>
    <t>CF Check</t>
  </si>
  <si>
    <t>Balance Sheet</t>
  </si>
  <si>
    <t>Assets</t>
  </si>
  <si>
    <t>Cash and cash equivalents</t>
  </si>
  <si>
    <t>Fixed maturities, trading at fair value</t>
  </si>
  <si>
    <t>Investments accounted for using the equity method</t>
  </si>
  <si>
    <t>Equity securities, trading at fair value</t>
  </si>
  <si>
    <t>Mortgage loans</t>
  </si>
  <si>
    <t>Policy loans</t>
  </si>
  <si>
    <t>Equity index call options</t>
  </si>
  <si>
    <t>Real estate and other investments</t>
  </si>
  <si>
    <t>Total cash and investments</t>
  </si>
  <si>
    <t>Recoverables from reinsurers</t>
  </si>
  <si>
    <t>Prepaid reinsurance premiums</t>
  </si>
  <si>
    <t>Agents’ balances and premiums receivable</t>
  </si>
  <si>
    <t>Deferred policy acquisition costs</t>
  </si>
  <si>
    <t>Assets of managed investment entities</t>
  </si>
  <si>
    <t>Other receivables</t>
  </si>
  <si>
    <t>Variable annuity assets (separate accounts)</t>
  </si>
  <si>
    <t>Total Assets</t>
  </si>
  <si>
    <t>Liabilities</t>
  </si>
  <si>
    <t>Unpaid losses and loss adjustment expenses</t>
  </si>
  <si>
    <t>Unearned premiums</t>
  </si>
  <si>
    <t>Annuity benefits accumulated</t>
  </si>
  <si>
    <t>Life, accident and health reserves</t>
  </si>
  <si>
    <t>Liabilities of managed investment entities</t>
  </si>
  <si>
    <t>Long-term debt</t>
  </si>
  <si>
    <t>Variable annuity liabilities (separate accounts)</t>
  </si>
  <si>
    <t>Deferred income tax</t>
  </si>
  <si>
    <t>Redeemable noncontrolling interests</t>
  </si>
  <si>
    <t>Total Liabilities</t>
  </si>
  <si>
    <t>Shareholders' Equity</t>
  </si>
  <si>
    <t>Preferred stock</t>
  </si>
  <si>
    <t>Common Stock, no par value</t>
  </si>
  <si>
    <t>Capital surplus</t>
  </si>
  <si>
    <t>Appropriated — managed investment entities</t>
  </si>
  <si>
    <t>Retained earnings</t>
  </si>
  <si>
    <t>Accumulated other comprehensive income, net of tax</t>
  </si>
  <si>
    <t>Total SE</t>
  </si>
  <si>
    <t>NCI</t>
  </si>
  <si>
    <t>Total Liabilities &amp; SE</t>
  </si>
  <si>
    <t>BS Check</t>
  </si>
  <si>
    <t>Model Checks</t>
  </si>
  <si>
    <t>Net Income on Revised IS = NI on CF statement</t>
  </si>
  <si>
    <t>Net Income on Reported IS = NI on Revised</t>
  </si>
  <si>
    <t>NEP = NEP in RIS</t>
  </si>
  <si>
    <t>Loss &amp; LAE = Loss &amp; LAE in RIS</t>
  </si>
  <si>
    <t>Other Operating Expense = Other Operating Expense in RIS</t>
  </si>
  <si>
    <t>Net Investment Income = Net Investment Income in RIS</t>
  </si>
  <si>
    <t>Net Investment Gain = Net Investment Gain in RIS</t>
  </si>
  <si>
    <t>Underwriting Expense = Total Expense</t>
  </si>
  <si>
    <t>GUPR = GUPR in BS</t>
  </si>
  <si>
    <t>CUP = CUP in BS</t>
  </si>
  <si>
    <t>GLR = GLR in BS</t>
  </si>
  <si>
    <t>RR = RR in BS</t>
  </si>
  <si>
    <t>Net Technical Reserve = NUPR + NLR</t>
  </si>
  <si>
    <t>Cash Balance Positive</t>
  </si>
  <si>
    <t>Cash Flow is not Repeated</t>
  </si>
  <si>
    <t>Income Statement is not Repeated</t>
  </si>
  <si>
    <t>Balance Sheet is not Repeated</t>
  </si>
  <si>
    <t>Ending CF = Ending Cumulative CF</t>
  </si>
  <si>
    <t>*RIS NI FY = Sum of Qs</t>
  </si>
  <si>
    <t>*RIS Adjusted NI FY = Sum of Qs</t>
  </si>
  <si>
    <t>*CFO Before WC subtotal FY = Sum of Qs</t>
  </si>
  <si>
    <t>*CFO subtotal FY = Sum of Qs</t>
  </si>
  <si>
    <t>*CFI subtotal FY = Sum of Qs</t>
  </si>
  <si>
    <t>*CFF subtotal FY = Sum of Qs</t>
  </si>
  <si>
    <t>Other Tables</t>
  </si>
  <si>
    <t>Ticker Symbol</t>
  </si>
  <si>
    <t>AFG US</t>
  </si>
  <si>
    <t>NYSE:AFG</t>
  </si>
  <si>
    <t>AFG-US</t>
  </si>
  <si>
    <t>AFG.N</t>
  </si>
  <si>
    <t>Valuation Toggle Table</t>
  </si>
  <si>
    <t>High</t>
  </si>
  <si>
    <t>Low</t>
  </si>
  <si>
    <t>Consensus Estimate Table</t>
  </si>
  <si>
    <t>FY or FQ</t>
  </si>
  <si>
    <t>Period</t>
  </si>
  <si>
    <t>Stock Price Table</t>
  </si>
  <si>
    <t>Fiscal Period Start Date</t>
  </si>
  <si>
    <t>Real-Time Off Source</t>
  </si>
  <si>
    <t>Capital IQ</t>
  </si>
  <si>
    <t>FactSet</t>
  </si>
  <si>
    <t>General Table</t>
  </si>
  <si>
    <t>Last Price</t>
  </si>
  <si>
    <t>Last Price Date</t>
  </si>
  <si>
    <t>Real-Time Stock Price</t>
  </si>
  <si>
    <t>Last Price Formula</t>
  </si>
  <si>
    <t>Trade Currency</t>
  </si>
  <si>
    <t>Trade Currency Hardcoded</t>
  </si>
  <si>
    <t>Model Sheet Currency Hardcoded</t>
  </si>
  <si>
    <t>Most Recent FX</t>
  </si>
  <si>
    <t>Most Recent FX Hardcoded</t>
  </si>
  <si>
    <t>MRFP Column Number</t>
  </si>
  <si>
    <t>Most Recent Fiscal Period (MRFP)</t>
  </si>
  <si>
    <t>Current Fiscal Year</t>
  </si>
  <si>
    <t>Data Source Index</t>
  </si>
  <si>
    <t>Guidance</t>
  </si>
  <si>
    <t>Model</t>
  </si>
  <si>
    <t>Difference vs. Mid</t>
  </si>
  <si>
    <t>Update Log</t>
  </si>
  <si>
    <t>Type</t>
  </si>
  <si>
    <t>Item</t>
  </si>
  <si>
    <t>Item Name</t>
  </si>
  <si>
    <t>Fiscal Period</t>
  </si>
  <si>
    <t>Mid</t>
  </si>
  <si>
    <t>Output</t>
  </si>
  <si>
    <t>Absolute</t>
  </si>
  <si>
    <t>Relative</t>
  </si>
  <si>
    <t>Date</t>
  </si>
  <si>
    <t>Link</t>
  </si>
  <si>
    <t>FY2018</t>
  </si>
  <si>
    <t>Estimate</t>
  </si>
  <si>
    <t>Press Release</t>
  </si>
  <si>
    <t>FY2017</t>
  </si>
  <si>
    <t>Reports</t>
  </si>
  <si>
    <t>Capitalization Summary</t>
  </si>
  <si>
    <t>Underwriting Income</t>
  </si>
  <si>
    <t>Underwriting Ratio</t>
  </si>
  <si>
    <t>Investment Income</t>
  </si>
  <si>
    <t>GAAP Financials</t>
  </si>
  <si>
    <t>Tax</t>
  </si>
  <si>
    <t>Base Period</t>
  </si>
  <si>
    <t>Non-GAAP Financials</t>
  </si>
  <si>
    <t>Profitability Ratios</t>
  </si>
  <si>
    <t>Valuation Metrics</t>
  </si>
  <si>
    <t>Check</t>
  </si>
  <si>
    <t>GAAP NI</t>
  </si>
  <si>
    <t>UI</t>
  </si>
  <si>
    <t>Update Date</t>
  </si>
  <si>
    <t>Updated By (Initials)</t>
  </si>
  <si>
    <t>Update Type</t>
  </si>
  <si>
    <t>Special Comments</t>
  </si>
  <si>
    <t>Link to Press Release / News Item</t>
  </si>
  <si>
    <t>WZ</t>
  </si>
  <si>
    <t>Q3-2018</t>
  </si>
  <si>
    <t>Earnings Press Release</t>
  </si>
  <si>
    <t>WZ &amp; JZ</t>
  </si>
  <si>
    <t>Q2-2018</t>
  </si>
  <si>
    <t>JY &amp; JZ</t>
  </si>
  <si>
    <t>Q1-2018</t>
  </si>
  <si>
    <t>PP &amp; SB</t>
  </si>
  <si>
    <t>BZ &amp; VT</t>
  </si>
  <si>
    <t>Q3-2017</t>
  </si>
  <si>
    <t>MB &amp; MU</t>
  </si>
  <si>
    <t>Q2-2017</t>
  </si>
  <si>
    <t>HH</t>
  </si>
  <si>
    <t>New Build</t>
  </si>
  <si>
    <t>FY2019</t>
  </si>
  <si>
    <t>YY</t>
  </si>
  <si>
    <r>
      <rPr>
        <b/>
        <sz val="7"/>
        <color rgb="FF000000"/>
        <rFont val="Calibri"/>
        <family val="2"/>
        <scheme val="minor"/>
      </rPr>
      <t>DISCLAIMER</t>
    </r>
    <r>
      <rPr>
        <sz val="7"/>
        <color rgb="FF000000"/>
        <rFont val="Calibri"/>
        <family val="2"/>
        <scheme val="minor"/>
      </rPr>
      <t xml:space="preserve">
Access to and use of this model, including the data contained herein (this "Model") is subject to Tegus, Inc.'s (a successor entity to Canalyst Financial Modeling Corporation) ("Company") Terms of Use that you accepted prior to accessing this Model, the applicable Service Agreement between the Company and you (or a corporate entity that has authorized you to access and use this Model on its behalf in accordance with the terms of such Service Agreement) or other similar agreement between you and the Company. BY CONTINUING TO ACCESS OR USE THIS MODEL, YOU EXPRESSLY AGREE TO THE TERMS AND CONDITIONS OF SUCH AGREEMENTS.
</t>
    </r>
    <r>
      <rPr>
        <b/>
        <sz val="7"/>
        <color rgb="FF000000"/>
        <rFont val="Calibri"/>
        <family val="2"/>
        <scheme val="minor"/>
      </rPr>
      <t>The Company and certain of its licensors have exclusive proprietary rights in this Model. This Model is being provided for internal use only. Unless prior written consent by the Company and its licensors has been provided to you, you may not distribute or otherwise furnish this Model to any third party, nor use or permit anyone to use this Model for any unlawful or unauthorized purpose. IF YOU HAVE UNLAWFULLY OBTAINED, OR ARE NOT AUTHORIZED TO USE THIS MODEL, YOU ARE OBLIGATED TO PROMPTLY: (I) RETURN THIS MODEL (AND ANY DERIVATIVE WORKS ARISING FROM OR RELATING THERETO) TO THE AUTHORIZED USER OF THIS MODEL; (II) PROVIDE NOTICE TO THE COMPANY AT LEGAL@TEGUS.COM OF SUCH UNLAWFUL OR UNAUTHORIZED ACCESS AND USE; AND, (III) CERTIFY THAT YOU HAVE DESTROYED THIS MODEL (AND ANY DERIVATIVE WORKS ARISING FROM OR RELATING THERETO) AND ANY COPIES FROM YOUR SYSTEMS SO AS TO ENSURE THEY ARE INCAPABLE OF RETRIEVAL.</t>
    </r>
    <r>
      <rPr>
        <sz val="7"/>
        <color rgb="FF000000"/>
        <rFont val="Calibri"/>
        <family val="2"/>
        <scheme val="minor"/>
      </rPr>
      <t xml:space="preserve">
A portion of the data contained in this Model may be powered by third party contributors and their respective licensors, or derived from data provided by such contributors, including (but not limited to): (i) </t>
    </r>
    <r>
      <rPr>
        <b/>
        <sz val="7"/>
        <color rgb="FF000000"/>
        <rFont val="Calibri"/>
        <family val="2"/>
        <scheme val="minor"/>
      </rPr>
      <t>QuoteMedia Inc.</t>
    </r>
    <r>
      <rPr>
        <sz val="7"/>
        <color rgb="FF000000"/>
        <rFont val="Calibri"/>
        <family val="2"/>
        <scheme val="minor"/>
      </rPr>
      <t xml:space="preserve">: A portion of the market data is powered by Quotemedia.com. All rights reserved. Data delayed 15 minutes unless otherwise indicated; (ii) </t>
    </r>
    <r>
      <rPr>
        <b/>
        <sz val="7"/>
        <color rgb="FF000000"/>
        <rFont val="Calibri"/>
        <family val="2"/>
        <scheme val="minor"/>
      </rPr>
      <t>S&amp;P Global Market Intelligence LLC</t>
    </r>
    <r>
      <rPr>
        <sz val="7"/>
        <color rgb="FF000000"/>
        <rFont val="Calibri"/>
        <family val="2"/>
        <scheme val="minor"/>
      </rPr>
      <t xml:space="preserve">: Copyright (c) {{YEAR}} S&amp;P Global Market Intelligence LLC (and its affiliates as applicable). All rights reserved. Reproduction of any information, opinions, views, data or material, including ratings ("Content") in any form is prohibited except with the prior written permission of the relevant party. Such party, its affiliates and suppliers ("Content Providers") do not guarantee the accuracy, adequacy, completeness, timeliness or availability of any Content and are not responsible for any errors or omissions (negligent or otherwise), regardless of the cause, or for the results obtained from the use of such Content. In no event shall Content Providers be liable for any damages, costs, expenses, legal fees, or losses (including lost income or lost profit and opportunity costs) in connection with any use of the Content. A reference to a particular investment or security, a rating or any observation concerning an investment that is part of the Content is not a recommendation to buy, sell or hold such investment or security, does not address the suitability of an investment or security and should not be relied on as investment advice. Credit ratings are statements of opinions and are not statements of fact; and, (iii) </t>
    </r>
    <r>
      <rPr>
        <b/>
        <sz val="7"/>
        <color rgb="FF000000"/>
        <rFont val="Calibri"/>
        <family val="2"/>
        <scheme val="minor"/>
      </rPr>
      <t>Refinitiv Canada Holdings Limited</t>
    </r>
    <r>
      <rPr>
        <sz val="7"/>
        <color rgb="FF000000"/>
        <rFont val="Calibri"/>
        <family val="2"/>
        <scheme val="minor"/>
      </rPr>
      <t xml:space="preserve">: A portion of the information may be provided by or derived from data provided by Refinitiv.
By accessing or using this Model (including any portion of the data contained herein) you expressly represent that such access or use does not constitute a violation of any applicable law or regulation to which you or the securities are subject.
This Model does not constitute investment advice by the Company or any of its licensors. Reference to a particular investment or security, credit rating or any observation concerning a security or investment in this Model is not a recommendation or solicitation to buy, sell or hold such investment or security or make any other investment decisions. For greater certainty, any forecasts or forward-looking information expressed herein are for illustrative purposes only and do not purport to express any view on what may transpire. Neither the Company nor any of its licensors have performed company-specific research on any projected information, as such, it is your responsibility to express your own views on projected results. This Model does not guarantee future performance and undue reliance should not be placed on such. You are solely responsible for evaluating the merits and risks of any investment based on your own business and financial expertise, the business and financial expertise of professional advisors with whom you have consulted, your financial situation and risk tolerance. Neither the Company, nor any of its licensors, undertake any liability with respect to your reliance on this Model.
This Model is a quantitative tool with no investment views. The Company and its respective directors, officers, employees, agents, contractors, and affiliates may hold long or short positions in the security to which this Model relates, based on their personal views, and may initiate or close out any positions in such security at any time without any notice.
</t>
    </r>
    <r>
      <rPr>
        <b/>
        <sz val="7"/>
        <color rgb="FF000000"/>
        <rFont val="Calibri"/>
        <family val="2"/>
        <scheme val="minor"/>
      </rPr>
      <t>THIS MODEL IS PROVIDED "AS IS" AND ON AN "AS AVAILABLE" BASIS ONLY, WITHOUT WARRANTIES OR CONDITIONS OF ANY KIND. NEITHER THE COMPANY NOR ANY OF ITS LICENSORS NOR THEIR RESPECTIVE AFFILIATES OR SUPPLIERS HAVE LIABILITY FOR THE ACCURACY, TIMELINESS OR COMPLETENESS OF THIS MODEL, OR FOR DELAYS, INTERRUPTIONS OR OMISSIONS HEREIN, NOR FOR ANY LOST PROFITS, INDIRECT, SPECIAL OR CONSEQUENTIAL DAMAGES.</t>
    </r>
    <r>
      <rPr>
        <sz val="7"/>
        <color rgb="FF000000"/>
        <rFont val="Calibri"/>
        <family val="2"/>
        <scheme val="minor"/>
      </rPr>
      <t xml:space="preserve"> Access to data in this Model that is sourced from third party contributors is subject to termination in the event that any agreement between the Company and such third party contributors terminates for any reason.
</t>
    </r>
    <r>
      <rPr>
        <b/>
        <sz val="7"/>
        <color rgb="FF000000"/>
        <rFont val="Calibri"/>
        <family val="2"/>
        <scheme val="minor"/>
      </rPr>
      <t>Copyright 2023 Tegus. All rights reserved.</t>
    </r>
  </si>
  <si>
    <t>Is Historical Period</t>
  </si>
  <si>
    <t>NQ &amp; OG</t>
  </si>
  <si>
    <t>Q1-2019</t>
  </si>
  <si>
    <t>Most Recent Period:</t>
  </si>
  <si>
    <t>Total Gross Earned Premiums, mm</t>
  </si>
  <si>
    <t>Total Ceded Earned Premiums, mm</t>
  </si>
  <si>
    <t>OG</t>
  </si>
  <si>
    <t>Q2-2019</t>
  </si>
  <si>
    <t>First Forecast Fiscal Year</t>
  </si>
  <si>
    <t>Q3-2019</t>
  </si>
  <si>
    <t>Reserve Ratio, %</t>
  </si>
  <si>
    <t>Solvency Ratio, %</t>
  </si>
  <si>
    <t>Return on Average Total Assets, %</t>
  </si>
  <si>
    <t>Return on Average Common Equity, %</t>
  </si>
  <si>
    <t>Return on Average Tangible Common Equity, %</t>
  </si>
  <si>
    <t>Most Recent Period</t>
  </si>
  <si>
    <t>Quarterly (Earnings Report)</t>
  </si>
  <si>
    <t>Annual (Earnings Report)</t>
  </si>
  <si>
    <t>Q1-2017</t>
  </si>
  <si>
    <t>ML</t>
  </si>
  <si>
    <t>FY2020</t>
  </si>
  <si>
    <t>Key Outputs</t>
  </si>
  <si>
    <t>Q1-2020</t>
  </si>
  <si>
    <t>ArS</t>
  </si>
  <si>
    <t>Capital Resources</t>
  </si>
  <si>
    <t>Short-term debt</t>
  </si>
  <si>
    <t>Total Debt</t>
  </si>
  <si>
    <t>Total Shareholders' Equity</t>
  </si>
  <si>
    <t>Total Capitalization</t>
  </si>
  <si>
    <t>Debt to Capital Ratio, %</t>
  </si>
  <si>
    <t>Net Debt Issuance (Repayment)</t>
  </si>
  <si>
    <t>Net Share Issuance (Buybacks)</t>
  </si>
  <si>
    <t>Estimated Share Price for Issuance/Buybacks, USD</t>
  </si>
  <si>
    <t>Effective Interest Rate on Debt, %</t>
  </si>
  <si>
    <t>Realized gains (losses) on securities</t>
  </si>
  <si>
    <t>Annuity non-core earnings (losses)</t>
  </si>
  <si>
    <t>Neon exited lines</t>
  </si>
  <si>
    <t>Core Net Operating Earnings</t>
  </si>
  <si>
    <t>Special A&amp;E charges</t>
  </si>
  <si>
    <t>Loss on early retirement of debt</t>
  </si>
  <si>
    <t>Core Net Operating Earnings Per Share - WAD</t>
  </si>
  <si>
    <t>MO_RIS_EPS_WAD_Adj</t>
  </si>
  <si>
    <t>Non-core items</t>
  </si>
  <si>
    <t>Q2-2020</t>
  </si>
  <si>
    <t>Ceded annuity receipts</t>
  </si>
  <si>
    <t>Q3-2020</t>
  </si>
  <si>
    <t>Other</t>
  </si>
  <si>
    <t>Refinitiv</t>
  </si>
  <si>
    <t>Ceded annuity surrenders, benefits and withdrawals</t>
  </si>
  <si>
    <t>Cash transferred in annuity reinsurance</t>
  </si>
  <si>
    <t>FY2021</t>
  </si>
  <si>
    <t>P&amp;C Operations, including parent company interest and expenses</t>
  </si>
  <si>
    <t>Real estate alt investments to be acquired by AFG Parent</t>
  </si>
  <si>
    <t>Directly owned rela estate to be acquired by AFG Parent</t>
  </si>
  <si>
    <t>Q1-2021</t>
  </si>
  <si>
    <t>HN</t>
  </si>
  <si>
    <t>Unrestated</t>
  </si>
  <si>
    <t>Net Earnings (loss) from Continuing Operations, including Noncontrolling Interests</t>
  </si>
  <si>
    <t>Net earnings (loss) from discontinued operations</t>
  </si>
  <si>
    <t>Fixed maturities, available for sale at fair value</t>
  </si>
  <si>
    <t>Equity securities, available for sale at fair value</t>
  </si>
  <si>
    <t>Assets of discontinued annuity operations</t>
  </si>
  <si>
    <t>Liabilities of discontinued annuity operations</t>
  </si>
  <si>
    <t>Discontinued annuity operations</t>
  </si>
  <si>
    <t>Cash and cash equivalents from discontinued operations</t>
  </si>
  <si>
    <t>Q2-2021</t>
  </si>
  <si>
    <t>Initial (Press Release)</t>
  </si>
  <si>
    <t>Q3-2021</t>
  </si>
  <si>
    <t>FY2022</t>
  </si>
  <si>
    <t>Restated</t>
  </si>
  <si>
    <t>Q1-2022</t>
  </si>
  <si>
    <t>SL</t>
  </si>
  <si>
    <t>Property and transportation loss and LAE prior year development, mm</t>
  </si>
  <si>
    <t>Property and transportation loss and LAE excl. prior year development, mm</t>
  </si>
  <si>
    <t>Property and transportation loss and LAE catastrophe losses, mm</t>
  </si>
  <si>
    <t>Property and transportation loss and LAE excl. catastrophe and prior year development, mm</t>
  </si>
  <si>
    <t>Specialty casualty loss and LAE catastrophe losses, mm</t>
  </si>
  <si>
    <t>Specialty casualty loss and LAE excl. prior year development, mm</t>
  </si>
  <si>
    <t>Specialty casualty loss and LAE prior year development, mm</t>
  </si>
  <si>
    <t>Specialty casualty loss and LAE excl. catastrophe and prior year development, mm</t>
  </si>
  <si>
    <t>Specialty financial loss and LAE catastrophe losses, mm</t>
  </si>
  <si>
    <t>Specialty financial loss and LAE excl. prior year development, mm</t>
  </si>
  <si>
    <t>Specialty financial loss and LAE prior year development, mm</t>
  </si>
  <si>
    <t>Specialty financial loss and LAE excl. catastrophe and prior year development, mm</t>
  </si>
  <si>
    <t>Property and transportation loss and LAE excl. catastrophe and prior year development ratio, %</t>
  </si>
  <si>
    <t>Property and transportation loss and LAE catastrophe losses ratio, %</t>
  </si>
  <si>
    <t>Property and transportation loss and LAE excl. prior year development ratio, %</t>
  </si>
  <si>
    <t>Property and transportation loss and LAE prior year development ratio, %</t>
  </si>
  <si>
    <t>Specialty casualty loss and LAE catastrophe losses ratio, %</t>
  </si>
  <si>
    <t>Specialty casualty loss and LAE excl. prior year development ratio, %</t>
  </si>
  <si>
    <t>Specialty casualty loss and LAE prior year development ratio, %</t>
  </si>
  <si>
    <t>Specialty casualty loss and LAE excl. catastrophe and prior year development ratio, %</t>
  </si>
  <si>
    <t>Specialty financial loss and LAE catastrophe losses ratio, %</t>
  </si>
  <si>
    <t>Specialty financial loss and LAE excl. prior year development ratio, %</t>
  </si>
  <si>
    <t>Specialty financial loss and LAE prior year development ratio, %</t>
  </si>
  <si>
    <t>Specialty financial loss and LAE excl. catastrophe and prior year development ratio, %</t>
  </si>
  <si>
    <t>Adjusted Combined Ratio, %</t>
  </si>
  <si>
    <t>Last Working Day In Period</t>
  </si>
  <si>
    <t>Stock Price EoP</t>
  </si>
  <si>
    <t>FX EoP</t>
  </si>
  <si>
    <t>AFG_US</t>
  </si>
  <si>
    <t>Q2-2022</t>
  </si>
  <si>
    <t>TZ</t>
  </si>
  <si>
    <t>NQ</t>
  </si>
  <si>
    <t>Share Count Analysis</t>
  </si>
  <si>
    <t>Q3-2022</t>
  </si>
  <si>
    <t>OFF</t>
  </si>
  <si>
    <t>KuB</t>
  </si>
  <si>
    <t>AS</t>
  </si>
  <si>
    <t>Intangibles</t>
  </si>
  <si>
    <t>FY2023</t>
  </si>
  <si>
    <t>KPI Data</t>
  </si>
  <si>
    <t>MO_RIS_REV</t>
  </si>
  <si>
    <t>MO_RIS_NI_NONGAAP_Diluted</t>
  </si>
  <si>
    <t>KPI Count</t>
  </si>
  <si>
    <t>Apply Trade Currency Scaling</t>
  </si>
  <si>
    <t>Q1-2023</t>
  </si>
  <si>
    <t>Investments accounted for using the equity method, mm</t>
  </si>
  <si>
    <t>Investments accounted for using the equity method - avg. balance, mm</t>
  </si>
  <si>
    <t>Investments accounted for using the equity method - avg. balance growth, %</t>
  </si>
  <si>
    <t>Equity in earnings of partnerships and similar investmetns yield (annualized), %</t>
  </si>
  <si>
    <t>SF</t>
  </si>
  <si>
    <t>Q2-2023</t>
  </si>
  <si>
    <t>SHK</t>
  </si>
  <si>
    <t>Q/Q basic share expansion from dilutive securities, %</t>
  </si>
  <si>
    <t>Y/Y basic share expansion from dilutive securities, %</t>
  </si>
  <si>
    <t>Q/Q basic share expansion from share issuance (buyback), %</t>
  </si>
  <si>
    <t>Y/Y basic share expansion from share issuance (buyback), %</t>
  </si>
  <si>
    <t>Q/Q basic share expansion - EoP, %</t>
  </si>
  <si>
    <t>Y/Y basic share expansion - EoP, %</t>
  </si>
  <si>
    <t>Diluted share count to basic share count ratio, x</t>
  </si>
  <si>
    <t>EoP</t>
  </si>
  <si>
    <t>EoP Common Stock Outstanding, mm shares</t>
  </si>
  <si>
    <t>Cover Page Common Stock Outstanding, mm shares</t>
  </si>
  <si>
    <t>Date of Cover Page Share Count, date</t>
  </si>
  <si>
    <t>Dilutive Shares, mm shares</t>
  </si>
  <si>
    <t>EoP Total Diluted Common Stock Outstanding, mm shares</t>
  </si>
  <si>
    <t>Q3-2023</t>
  </si>
  <si>
    <t>Cash paid for income taxes, net of refunds</t>
  </si>
  <si>
    <t>Cash paid for interest on long term debt</t>
  </si>
  <si>
    <t>Quarterly Guidance Table</t>
  </si>
  <si>
    <t>Reporting Date</t>
  </si>
  <si>
    <t>Applicable Period</t>
  </si>
  <si>
    <t>Annual Guidance Table</t>
  </si>
  <si>
    <t>Is Latest</t>
  </si>
  <si>
    <t>FV</t>
  </si>
  <si>
    <t>FY2024</t>
  </si>
  <si>
    <t>Q1-2024</t>
  </si>
  <si>
    <t>VK</t>
  </si>
  <si>
    <t>Need to update your model? Do it in one click with the Updater tool:</t>
  </si>
  <si>
    <t>Tegus Excel Add-in</t>
  </si>
  <si>
    <t>Tegus</t>
  </si>
  <si>
    <t>Q2-2024</t>
  </si>
  <si>
    <t>KKR</t>
  </si>
  <si>
    <t>Q3-2024</t>
  </si>
  <si>
    <t>AkS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</si>
</sst>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0.0_);_(* \(#,##0.0\);_(* &quot;-&quot;??_);_(@_)"/>
    <numFmt numFmtId="169" formatCode="_(&quot;$&quot;* #,##0_);_(&quot;$&quot;* \(#,##0\);_(&quot;$&quot;* &quot;-&quot;??_);_(@_)"/>
    <numFmt numFmtId="170" formatCode="_(* #,##0_);_(* \(#,##0\);_(* &quot;-&quot;??_);_(@_)"/>
    <numFmt numFmtId="171" formatCode="_(* 0.0%_);_(* \-0.0%_);_(* &quot;-&quot;??_);_(@_)"/>
    <numFmt numFmtId="172" formatCode="_(* #,##0.0_);_(* \(#,##0.0\);_(* &quot;-&quot;??_);@"/>
    <numFmt numFmtId="173" formatCode="_(&quot;$&quot;* 0.00_);_(&quot;$&quot;* \(0.00\);_(&quot;$&quot;* &quot;-&quot;??_);_(@_)"/>
    <numFmt numFmtId="174" formatCode="_(* 0.0\ \x_);\ _(* &quot;n/a&quot;_);_(* &quot;-&quot;??_);_(@_)"/>
    <numFmt numFmtId="175" formatCode=";;;"/>
    <numFmt numFmtId="176" formatCode="_(&quot;$&quot;* #,##0.000_);_(&quot;$&quot;* \(#,##0.000\);_(&quot;$&quot;* &quot;-&quot;??_);_(@_)"/>
    <numFmt numFmtId="177" formatCode="_(* #,##0.0_);_(* \(#,##0.0\);_(* &quot;-&quot;??_);_(&quot;Bloomberg &gt;&gt; &quot;@_)"/>
    <numFmt numFmtId="178" formatCode="_(* #,##0.0_);_(* \(#,##0.0\);_(* &quot;-&quot;??_);_(&quot;Capital IQ &gt;&gt; &quot;@_)"/>
    <numFmt numFmtId="179" formatCode="_(* #,##0.0_);_(* \(#,##0.0\);_(* &quot;-&quot;??_);_(&quot;FactSet &gt;&gt; &quot;@_)"/>
    <numFmt numFmtId="180" formatCode="_(* #,##0.0_);_(* \(#,##0.0\);_(* &quot;-&quot;??_);_(&quot;Ticker :   &quot;@_)"/>
    <numFmt numFmtId="181" formatCode="_(* 0.00%_);_(* \-0.00%_);_(* &quot;-&quot;??_);_(@_)"/>
    <numFmt numFmtId="182" formatCode="_(* #,##0.0_);_(* \(#,##0.0\);_(* &quot;-&quot;??_);_(&quot;Model Sheet Currency :   &quot;@_)"/>
    <numFmt numFmtId="183" formatCode="_(* #,##0.0_);_(* \(#,##0.0\);_(* &quot;-&quot;??_);_(&quot;Canalyst Security Identification #: &quot;@_)"/>
    <numFmt numFmtId="184" formatCode="_(* #,##0.0_);_(* \(#,##0.0\);_(* &quot;-&quot;??_);_(&quot;Model Version #: &quot;@_)"/>
    <numFmt numFmtId="185" formatCode="_(* #,##0.0_);_(* \(#,##0.0\);_(* &quot; - &quot;??_);_(&quot;Last Price (&quot;@&quot;) &quot;_)"/>
    <numFmt numFmtId="186" formatCode="_(* #,##0.0_);_(* \(#,##0.0\);_(* &quot;-&quot;??_);_(&quot;Real-Time Stock Price :   &quot;@_)"/>
    <numFmt numFmtId="187" formatCode="_(&quot;$&quot;* 0.00_);_(&quot;$&quot;* \(0.00\);_(&quot;$&quot;* &quot; - &quot;??_);_(@_)"/>
    <numFmt numFmtId="188" formatCode="_(* #,##0.000_);_(* \(#,##0.000\);_(* &quot;-&quot;??_);_(@_)"/>
    <numFmt numFmtId="189" formatCode="&quot;Most Recent Period:&quot;"/>
    <numFmt numFmtId="190" formatCode="_(* #,##0.0_);_(* \(#,##0.0\);_(* &quot; -&quot;??_);_(&quot;Refinitiv &gt;&gt; &quot;@_)"/>
    <numFmt numFmtId="191" formatCode="yyyy\-mm\-dd"/>
    <numFmt numFmtId="192" formatCode="_(\$* 0.00_);_(\$* \(0.00\);_(\$* &quot; - &quot;??_);_(@_)"/>
    <numFmt numFmtId="193" formatCode="_(\$* 0.00_);_(\$* \(0.00\);_(\$* &quot;-&quot;??_);_(@\ * \ &quot;Toggle  &gt;&gt;&gt;&quot;_)"/>
    <numFmt numFmtId="194" formatCode="m\-d\-yy"/>
    <numFmt numFmtId="195" formatCode="_(* 0.00\ \x_);\ _(* &quot;n/a&quot;_);_(* &quot;-&quot;??_);_(@_)"/>
    <numFmt numFmtId="196" formatCode="m/d/yy"/>
    <numFmt numFmtId="197" formatCode="_(* #,##0.0_);_(* \(#,##0.0\);_(* &quot;-&quot;??_);_(&quot;Tegus Ticker &gt;&gt; &quot;@_)"/>
  </numFmts>
  <fonts count="54">
    <font>
      <sz val="11"/>
      <name val="Calibri"/>
      <family val="2"/>
    </font>
    <font>
      <sz val="10"/>
      <color theme="1"/>
      <name val="Arial"/>
      <family val="2"/>
    </font>
    <font>
      <sz val="11"/>
      <color theme="1"/>
      <name val="Calibri"/>
      <family val="2"/>
      <scheme val="minor"/>
    </font>
    <font>
      <b/>
      <sz val="11"/>
      <color theme="1"/>
      <name val="Calibri"/>
      <family val="2"/>
      <scheme val="minor"/>
    </font>
    <font>
      <u val="single"/>
      <sz val="11"/>
      <color theme="10"/>
      <name val="Calibri"/>
      <family val="2"/>
      <scheme val="minor"/>
    </font>
    <font>
      <i/>
      <sz val="11"/>
      <color theme="1"/>
      <name val="Calibri"/>
      <family val="2"/>
      <scheme val="minor"/>
    </font>
    <font>
      <b/>
      <sz val="11"/>
      <name val="Calibri"/>
      <family val="2"/>
      <scheme val="minor"/>
    </font>
    <font>
      <b/>
      <sz val="11"/>
      <name val="Calibri"/>
      <family val="2"/>
    </font>
    <font>
      <sz val="11"/>
      <name val="Calibri"/>
      <family val="2"/>
      <scheme val="minor"/>
    </font>
    <font>
      <sz val="11"/>
      <color rgb="FFFF0000"/>
      <name val="Calibri"/>
      <family val="2"/>
    </font>
    <font>
      <sz val="22"/>
      <color theme="1"/>
      <name val="Calibri"/>
      <family val="2"/>
      <scheme val="minor"/>
    </font>
    <font>
      <u val="single"/>
      <sz val="11"/>
      <color theme="10"/>
      <name val="Calibri"/>
      <family val="2"/>
    </font>
    <font>
      <sz val="14"/>
      <color theme="1"/>
      <name val="Calibri"/>
      <family val="2"/>
      <scheme val="minor"/>
    </font>
    <font>
      <b/>
      <sz val="11"/>
      <color rgb="FFFF0000"/>
      <name val="Calibri"/>
      <family val="2"/>
    </font>
    <font>
      <sz val="11"/>
      <color rgb="FF006100"/>
      <name val="Calibri"/>
      <family val="2"/>
      <scheme val="minor"/>
    </font>
    <font>
      <sz val="10"/>
      <color theme="1"/>
      <name val="Calibri"/>
      <family val="2"/>
      <scheme val="minor"/>
    </font>
    <font>
      <b/>
      <sz val="10"/>
      <color theme="1"/>
      <name val="Calibri"/>
      <family val="2"/>
      <scheme val="minor"/>
    </font>
    <font>
      <b/>
      <sz val="14"/>
      <color theme="1"/>
      <name val="Calibri"/>
      <family val="2"/>
      <scheme val="minor"/>
    </font>
    <font>
      <sz val="14"/>
      <name val="Calibri"/>
      <family val="2"/>
      <scheme val="minor"/>
    </font>
    <font>
      <i/>
      <sz val="11"/>
      <name val="Calibri"/>
      <family val="2"/>
    </font>
    <font>
      <sz val="11"/>
      <color rgb="FF000000"/>
      <name val="Calibri"/>
      <family val="2"/>
      <scheme val="minor"/>
    </font>
    <font>
      <i/>
      <sz val="11"/>
      <color rgb="FFFF0000"/>
      <name val="Calibri"/>
      <family val="2"/>
    </font>
    <font>
      <b/>
      <sz val="11"/>
      <color rgb="FFFFFFFF"/>
      <name val="Calibri"/>
      <family val="2"/>
    </font>
    <font>
      <i/>
      <sz val="11"/>
      <color rgb="FF000000"/>
      <name val="Calibri"/>
      <family val="2"/>
    </font>
    <font>
      <u val="single"/>
      <sz val="22"/>
      <color theme="10"/>
      <name val="Calibri"/>
      <family val="2"/>
      <scheme val="minor"/>
    </font>
    <font>
      <sz val="11"/>
      <color rgb="FF000000"/>
      <name val="Calibri"/>
      <family val="2"/>
    </font>
    <font>
      <b/>
      <sz val="11"/>
      <color rgb="FF000000"/>
      <name val="Calibri"/>
      <family val="2"/>
    </font>
    <font>
      <b/>
      <sz val="11"/>
      <color theme="1"/>
      <name val="Calibri"/>
      <family val="2"/>
    </font>
    <font>
      <sz val="11"/>
      <color theme="1"/>
      <name val="Calibri"/>
      <family val="2"/>
    </font>
    <font>
      <i/>
      <sz val="11"/>
      <color rgb="FF000000"/>
      <name val="Calibri"/>
      <family val="2"/>
      <scheme val="minor"/>
    </font>
    <font>
      <sz val="10"/>
      <color theme="0"/>
      <name val="Calibri"/>
      <family val="2"/>
      <scheme val="minor"/>
    </font>
    <font>
      <b/>
      <sz val="11"/>
      <color rgb="FF000000"/>
      <name val="Calibri"/>
      <family val="2"/>
      <scheme val="minor"/>
    </font>
    <font>
      <b/>
      <sz val="11"/>
      <color rgb="FFFFFFFF"/>
      <name val="Calibri"/>
      <family val="2"/>
      <scheme val="minor"/>
    </font>
    <font>
      <sz val="11"/>
      <color rgb="FFFFFFFF"/>
      <name val="Calibri"/>
      <family val="2"/>
    </font>
    <font>
      <b/>
      <i/>
      <sz val="11"/>
      <color rgb="FF000000"/>
      <name val="Calibri"/>
      <family val="2"/>
    </font>
    <font>
      <b/>
      <i/>
      <sz val="11"/>
      <color rgb="FF000000"/>
      <name val="Calibri"/>
      <family val="2"/>
      <scheme val="minor"/>
    </font>
    <font>
      <sz val="11"/>
      <color theme="0" tint="-0.0439900010824203"/>
      <name val="Calibri"/>
      <family val="2"/>
    </font>
    <font>
      <b/>
      <sz val="11"/>
      <color theme="0"/>
      <name val="Calibri"/>
      <family val="2"/>
    </font>
    <font>
      <sz val="11"/>
      <color rgb="FFF2F2F2"/>
      <name val="Calibri"/>
      <family val="2"/>
    </font>
    <font>
      <u val="single"/>
      <sz val="22"/>
      <color rgb="FF000000"/>
      <name val="Calibri"/>
      <family val="2"/>
      <scheme val="minor"/>
    </font>
    <font>
      <u val="single"/>
      <sz val="11"/>
      <color rgb="FF0000FF"/>
      <name val="Calibri"/>
      <family val="2"/>
      <scheme val="minor"/>
    </font>
    <font>
      <sz val="11"/>
      <color rgb="FF0000FF"/>
      <name val="Calibri"/>
      <family val="2"/>
    </font>
    <font>
      <u val="single"/>
      <sz val="14"/>
      <color rgb="FF0000FF"/>
      <name val="Calibri"/>
      <family val="2"/>
      <scheme val="minor"/>
    </font>
    <font>
      <b/>
      <sz val="9"/>
      <name val="Tahoma"/>
      <family val="2"/>
    </font>
    <font>
      <sz val="9"/>
      <name val="Tahoma"/>
      <family val="2"/>
    </font>
    <font>
      <sz val="7"/>
      <color rgb="FF000000"/>
      <name val="Calibri"/>
      <family val="2"/>
      <scheme val="minor"/>
    </font>
    <font>
      <b/>
      <sz val="7"/>
      <color rgb="FF000000"/>
      <name val="Calibri"/>
      <family val="2"/>
      <scheme val="minor"/>
    </font>
    <font>
      <b/>
      <i/>
      <sz val="11"/>
      <color rgb="FFFFFFFF"/>
      <name val="Calibri"/>
      <family val="2"/>
    </font>
    <font>
      <b/>
      <sz val="14"/>
      <color rgb="FFD04B35"/>
      <name val="Calibri"/>
      <family val="2"/>
      <scheme val="minor"/>
    </font>
    <font>
      <u val="single"/>
      <sz val="14"/>
      <color theme="10"/>
      <name val="Calibri"/>
      <family val="2"/>
      <scheme val="minor"/>
    </font>
    <font>
      <sz val="11"/>
      <color rgb="FF0000FC"/>
      <name val="Calibri"/>
      <family val="2"/>
    </font>
    <font>
      <b/>
      <sz val="11"/>
      <color rgb="FF0000FC"/>
      <name val="Calibri"/>
      <family val="2"/>
    </font>
    <font>
      <i/>
      <sz val="11"/>
      <color rgb="FF0000FC"/>
      <name val="Calibri"/>
      <family val="2"/>
    </font>
    <font>
      <sz val="11"/>
      <color rgb="FF0000FC"/>
      <name val="Calibri"/>
      <family val="2"/>
      <scheme val="minor"/>
    </font>
  </fonts>
  <fills count="9">
    <fill>
      <patternFill patternType="none"/>
    </fill>
    <fill>
      <patternFill patternType="gray125"/>
    </fill>
    <fill>
      <patternFill patternType="solid">
        <fgColor rgb="FFC6EFCE"/>
        <bgColor indexed="64"/>
      </patternFill>
    </fill>
    <fill>
      <patternFill patternType="solid">
        <fgColor rgb="FFFFFFFF"/>
        <bgColor indexed="64"/>
      </patternFill>
    </fill>
    <fill>
      <patternFill patternType="solid">
        <fgColor rgb="FF89E0FF"/>
        <bgColor indexed="64"/>
      </patternFill>
    </fill>
    <fill>
      <patternFill patternType="solid">
        <fgColor rgb="FF000000"/>
        <bgColor indexed="64"/>
      </patternFill>
    </fill>
    <fill>
      <patternFill patternType="solid">
        <fgColor rgb="FFF2F2F2"/>
        <bgColor indexed="64"/>
      </patternFill>
    </fill>
    <fill>
      <patternFill patternType="solid">
        <fgColor rgb="FFD0F9F2"/>
        <bgColor indexed="64"/>
      </patternFill>
    </fill>
    <fill>
      <patternFill patternType="solid">
        <fgColor rgb="FFECEDF0"/>
        <bgColor indexed="64"/>
      </patternFill>
    </fill>
  </fills>
  <borders count="36">
    <border>
      <left/>
      <right/>
      <top/>
      <bottom/>
      <diagonal/>
    </border>
    <border>
      <left/>
      <right style="thin">
        <color auto="1"/>
      </right>
      <top/>
      <bottom style="thin">
        <color auto="1"/>
      </bottom>
    </border>
    <border>
      <left/>
      <right/>
      <top/>
      <bottom style="thin">
        <color auto="1"/>
      </bottom>
    </border>
    <border>
      <left style="thin">
        <color auto="1"/>
      </left>
      <right/>
      <top/>
      <bottom style="thin">
        <color auto="1"/>
      </bottom>
    </border>
    <border>
      <left/>
      <right style="thin">
        <color auto="1"/>
      </right>
      <top/>
      <bottom/>
    </border>
    <border>
      <left style="thin">
        <color auto="1"/>
      </left>
      <right/>
      <top/>
      <bottom/>
    </border>
    <border>
      <left/>
      <right style="thin">
        <color auto="1"/>
      </right>
      <top style="thin">
        <color auto="1"/>
      </top>
      <bottom/>
    </border>
    <border>
      <left/>
      <right/>
      <top style="thin">
        <color auto="1"/>
      </top>
      <bottom/>
    </border>
    <border>
      <left style="thin">
        <color auto="1"/>
      </left>
      <right/>
      <top style="thin">
        <color auto="1"/>
      </top>
      <bottom/>
    </border>
    <border>
      <left/>
      <right/>
      <top style="thin">
        <color auto="1"/>
      </top>
      <bottom style="thin">
        <color auto="1"/>
      </bottom>
    </border>
    <border>
      <left/>
      <right/>
      <top style="thin">
        <color rgb="FF000000"/>
      </top>
      <bottom/>
    </border>
    <border>
      <left/>
      <right/>
      <top/>
      <bottom style="thin">
        <color rgb="FF000000"/>
      </bottom>
    </border>
    <border>
      <left/>
      <right style="thin">
        <color rgb="FF000000"/>
      </right>
      <top/>
      <bottom/>
    </border>
    <border>
      <left style="thin">
        <color rgb="FF000000"/>
      </left>
      <right/>
      <top/>
      <bottom/>
    </border>
    <border>
      <left/>
      <right style="thin">
        <color rgb="FF000000"/>
      </right>
      <top style="thin">
        <color rgb="FF000000"/>
      </top>
      <bottom/>
    </border>
    <border>
      <left style="thin">
        <color rgb="FF000000"/>
      </left>
      <right/>
      <top style="thin">
        <color rgb="FF000000"/>
      </top>
      <bottom/>
    </border>
    <border>
      <left/>
      <right style="thick">
        <color auto="1"/>
      </right>
      <top style="thin">
        <color rgb="FF000000"/>
      </top>
      <bottom/>
    </border>
    <border>
      <left/>
      <right style="thick">
        <color auto="1"/>
      </right>
      <top/>
      <bottom/>
    </border>
    <border>
      <left/>
      <right/>
      <top style="thin">
        <color rgb="FF000000"/>
      </top>
      <bottom style="thin">
        <color rgb="FF000000"/>
      </bottom>
    </border>
    <border>
      <left/>
      <right style="thick">
        <color auto="1"/>
      </right>
      <top style="thin">
        <color rgb="FF000000"/>
      </top>
      <bottom style="thin">
        <color rgb="FF000000"/>
      </bottom>
    </border>
    <border>
      <left/>
      <right style="thick">
        <color auto="1"/>
      </right>
      <top/>
      <bottom style="thin">
        <color auto="1"/>
      </bottom>
    </border>
    <border>
      <left style="thin">
        <color auto="1"/>
      </left>
      <right style="thin">
        <color auto="1"/>
      </right>
      <top style="thin">
        <color auto="1"/>
      </top>
      <bottom/>
    </border>
    <border>
      <left style="thin">
        <color auto="1"/>
      </left>
      <right style="thin">
        <color auto="1"/>
      </right>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auto="1"/>
      </left>
      <right style="thin">
        <color auto="1"/>
      </right>
      <top/>
      <bottom style="thin">
        <color auto="1"/>
      </bottom>
    </border>
    <border>
      <left/>
      <right style="thick">
        <color auto="1"/>
      </right>
      <top/>
      <bottom style="thin">
        <color rgb="FF000000"/>
      </bottom>
    </border>
    <border>
      <left style="thin">
        <color rgb="FF000000"/>
      </left>
      <right/>
      <top/>
      <bottom style="thin">
        <color auto="1"/>
      </bottom>
    </border>
    <border>
      <left/>
      <right style="thin">
        <color rgb="FF000000"/>
      </right>
      <top/>
      <bottom style="thin">
        <color auto="1"/>
      </bottom>
    </border>
    <border>
      <left/>
      <right style="thick">
        <color auto="1"/>
      </right>
      <top style="thin">
        <color auto="1"/>
      </top>
      <bottom/>
    </border>
    <border>
      <left style="thin">
        <color auto="1"/>
      </left>
      <right style="thin">
        <color auto="1"/>
      </right>
      <top style="thin">
        <color auto="1"/>
      </top>
      <bottom style="thin">
        <color auto="1"/>
      </bottom>
    </border>
    <border>
      <left style="thin">
        <color auto="1"/>
      </left>
      <right style="thin">
        <color auto="1"/>
      </right>
      <top/>
      <bottom style="thin">
        <color rgb="FF000000"/>
      </bottom>
    </border>
    <border>
      <left style="thin">
        <color rgb="FF000000"/>
      </left>
      <right style="thin">
        <color auto="1"/>
      </right>
      <top/>
      <bottom style="thin">
        <color rgb="FF000000"/>
      </bottom>
    </border>
    <border>
      <left/>
      <right style="thin">
        <color rgb="FF000000"/>
      </right>
      <top/>
      <bottom style="thin">
        <color rgb="FF000000"/>
      </bottom>
    </border>
    <border>
      <left style="thin">
        <color auto="1"/>
      </left>
      <right style="thin">
        <color rgb="FF000000"/>
      </right>
      <top/>
      <bottom style="thin">
        <color rgb="FF000000"/>
      </bottom>
    </border>
    <border>
      <left/>
      <right style="thick">
        <color auto="1"/>
      </right>
      <top style="thin">
        <color auto="1"/>
      </top>
      <bottom style="thin">
        <color auto="1"/>
      </bottom>
    </border>
  </borders>
  <cellStyleXfs count="34">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166" fontId="0" fillId="0" borderId="0">
      <alignment/>
      <protection/>
    </xf>
    <xf numFmtId="164"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6" fontId="2" fillId="0" borderId="0">
      <alignment/>
      <protection/>
    </xf>
    <xf numFmtId="166" fontId="0" fillId="0" borderId="0">
      <alignment/>
      <protection/>
    </xf>
    <xf numFmtId="166" fontId="2" fillId="0" borderId="0">
      <alignment/>
      <protection/>
    </xf>
    <xf numFmtId="0" fontId="14" fillId="2" borderId="0">
      <alignment/>
      <protection/>
    </xf>
    <xf numFmtId="0" fontId="4" fillId="0" borderId="0">
      <alignment/>
      <protection/>
    </xf>
    <xf numFmtId="0" fontId="11" fillId="0" borderId="0">
      <alignment vertical="top"/>
      <protection locked="0"/>
    </xf>
    <xf numFmtId="0" fontId="2" fillId="0" borderId="0">
      <alignment/>
      <protection/>
    </xf>
    <xf numFmtId="0" fontId="2" fillId="0" borderId="0">
      <alignment/>
      <protection/>
    </xf>
    <xf numFmtId="0" fontId="2" fillId="0" borderId="0">
      <alignment/>
      <protection/>
    </xf>
    <xf numFmtId="0" fontId="2" fillId="0" borderId="0">
      <alignment/>
      <protection/>
    </xf>
    <xf numFmtId="0" fontId="0" fillId="0" borderId="0">
      <alignment/>
      <protection/>
    </xf>
    <xf numFmtId="0" fontId="2" fillId="0" borderId="0">
      <alignment/>
      <protection/>
    </xf>
    <xf numFmtId="9" fontId="2" fillId="0" borderId="0">
      <alignment/>
      <protection/>
    </xf>
    <xf numFmtId="9" fontId="2" fillId="0" borderId="0">
      <alignment/>
      <protection/>
    </xf>
  </cellStyleXfs>
  <cellXfs count="1313">
    <xf numFmtId="0" fontId="0" fillId="0" borderId="0" xfId="0"/>
    <xf numFmtId="0" fontId="15" fillId="3" borderId="0" xfId="28" applyFont="1" applyFill="1">
      <alignment/>
      <protection/>
    </xf>
    <xf numFmtId="0" fontId="2" fillId="0" borderId="0" xfId="28">
      <alignment/>
      <protection/>
    </xf>
    <xf numFmtId="0" fontId="2" fillId="3" borderId="0" xfId="28" applyFill="1">
      <alignment/>
      <protection/>
    </xf>
    <xf numFmtId="0" fontId="2" fillId="3" borderId="0" xfId="28" applyNumberFormat="1" applyFont="1" applyFill="1" applyAlignment="1" quotePrefix="1">
      <alignment horizontal="left" vertical="top" wrapText="1"/>
      <protection/>
    </xf>
    <xf numFmtId="0" fontId="2" fillId="3" borderId="1" xfId="28" applyFill="1" applyBorder="1" applyAlignment="1">
      <alignment vertical="top" wrapText="1"/>
      <protection/>
    </xf>
    <xf numFmtId="0" fontId="2" fillId="3" borderId="2" xfId="28" applyFill="1" applyBorder="1" applyAlignment="1">
      <alignment vertical="top" wrapText="1"/>
      <protection/>
    </xf>
    <xf numFmtId="0" fontId="2" fillId="3" borderId="3" xfId="28" applyFill="1" applyBorder="1" applyAlignment="1">
      <alignment vertical="top" wrapText="1"/>
      <protection/>
    </xf>
    <xf numFmtId="0" fontId="2" fillId="3" borderId="4" xfId="28" applyFill="1" applyBorder="1" applyAlignment="1">
      <alignment vertical="top" wrapText="1"/>
      <protection/>
    </xf>
    <xf numFmtId="0" fontId="2" fillId="3" borderId="0" xfId="28" applyFill="1" applyAlignment="1">
      <alignment vertical="top" wrapText="1"/>
      <protection/>
    </xf>
    <xf numFmtId="0" fontId="2" fillId="3" borderId="5" xfId="28" applyFill="1" applyBorder="1" applyAlignment="1">
      <alignment vertical="top" wrapText="1"/>
      <protection/>
    </xf>
    <xf numFmtId="0" fontId="2" fillId="3" borderId="6" xfId="28" applyFill="1" applyBorder="1" applyAlignment="1">
      <alignment vertical="top" wrapText="1"/>
      <protection/>
    </xf>
    <xf numFmtId="0" fontId="2" fillId="3" borderId="7" xfId="28" applyFill="1" applyBorder="1" applyAlignment="1">
      <alignment vertical="top" wrapText="1"/>
      <protection/>
    </xf>
    <xf numFmtId="0" fontId="45" fillId="3" borderId="8" xfId="28" applyFont="1" applyFill="1" applyBorder="1" applyAlignment="1">
      <alignment vertical="top" wrapText="1"/>
      <protection/>
    </xf>
    <xf numFmtId="0" fontId="10" fillId="3" borderId="0" xfId="28" applyFont="1" applyFill="1" applyAlignment="1">
      <alignment horizontal="center"/>
      <protection/>
    </xf>
    <xf numFmtId="0" fontId="2" fillId="0" borderId="0" xfId="28">
      <alignment/>
      <protection/>
    </xf>
    <xf numFmtId="171" fontId="9" fillId="4" borderId="0" xfId="0" applyNumberFormat="1" applyFont="1" applyFill="1" applyAlignment="1">
      <alignment horizontal="right"/>
    </xf>
    <xf numFmtId="171" fontId="13" fillId="4" borderId="0" xfId="0" applyNumberFormat="1" applyFont="1" applyFill="1"/>
    <xf numFmtId="168" fontId="20" fillId="2" borderId="0" xfId="23" applyNumberFormat="1" applyFont="1" applyFill="1">
      <alignment/>
      <protection/>
    </xf>
    <xf numFmtId="171" fontId="21" fillId="4" borderId="0" xfId="0" applyNumberFormat="1" applyFont="1" applyFill="1"/>
    <xf numFmtId="0" fontId="0" fillId="3" borderId="0" xfId="0" applyFont="1" applyFill="1"/>
    <xf numFmtId="176" fontId="13" fillId="4" borderId="0" xfId="16" applyNumberFormat="1" applyFont="1" applyFill="1">
      <alignment/>
      <protection/>
    </xf>
    <xf numFmtId="172" fontId="24" fillId="3" borderId="0" xfId="24" applyNumberFormat="1" applyFont="1" applyFill="1" applyAlignment="1">
      <alignment horizontal="left"/>
      <protection/>
    </xf>
    <xf numFmtId="181" fontId="7" fillId="3" borderId="0" xfId="0" applyNumberFormat="1" applyFont="1" applyFill="1" applyAlignment="1">
      <alignment horizontal="left"/>
    </xf>
    <xf numFmtId="171" fontId="19" fillId="3" borderId="0" xfId="0" applyNumberFormat="1" applyFont="1" applyFill="1" applyAlignment="1">
      <alignment horizontal="left" indent="1"/>
    </xf>
    <xf numFmtId="171" fontId="7" fillId="3" borderId="0" xfId="0" applyNumberFormat="1" applyFont="1" applyFill="1" applyAlignment="1">
      <alignment horizontal="left"/>
    </xf>
    <xf numFmtId="171" fontId="0" fillId="3" borderId="0" xfId="0" applyNumberFormat="1" applyFont="1" applyFill="1" applyAlignment="1">
      <alignment horizontal="left" indent="1"/>
    </xf>
    <xf numFmtId="171" fontId="0" fillId="3" borderId="0" xfId="0" applyNumberFormat="1" applyFont="1" applyFill="1"/>
    <xf numFmtId="168" fontId="19" fillId="3" borderId="0" xfId="0" applyNumberFormat="1" applyFont="1" applyFill="1"/>
    <xf numFmtId="171" fontId="7" fillId="3" borderId="0" xfId="0" applyNumberFormat="1" applyFont="1" applyFill="1"/>
    <xf numFmtId="173" fontId="3" fillId="3" borderId="0" xfId="16" applyNumberFormat="1" applyFont="1" applyFill="1">
      <alignment/>
      <protection/>
    </xf>
    <xf numFmtId="171" fontId="19" fillId="3" borderId="0" xfId="0" applyNumberFormat="1" applyFont="1" applyFill="1"/>
    <xf numFmtId="170" fontId="0" fillId="3" borderId="0" xfId="0" applyNumberFormat="1" applyFont="1" applyFill="1"/>
    <xf numFmtId="174" fontId="0" fillId="3" borderId="0" xfId="0" applyNumberFormat="1" applyFont="1" applyFill="1"/>
    <xf numFmtId="173" fontId="7" fillId="3" borderId="0" xfId="0" applyNumberFormat="1" applyFont="1" applyFill="1"/>
    <xf numFmtId="181" fontId="7" fillId="3" borderId="0" xfId="0" applyNumberFormat="1" applyFont="1" applyFill="1"/>
    <xf numFmtId="171" fontId="22" fillId="5" borderId="0" xfId="0" applyNumberFormat="1" applyFont="1" applyFill="1"/>
    <xf numFmtId="170" fontId="7" fillId="3" borderId="0" xfId="0" applyNumberFormat="1" applyFont="1" applyFill="1"/>
    <xf numFmtId="0" fontId="7" fillId="3" borderId="0" xfId="0" applyFont="1" applyFill="1"/>
    <xf numFmtId="170" fontId="0" fillId="3" borderId="2" xfId="0" applyNumberFormat="1" applyFont="1" applyFill="1" applyBorder="1"/>
    <xf numFmtId="0" fontId="15" fillId="0" borderId="0" xfId="28" applyFont="1">
      <alignment/>
      <protection/>
    </xf>
    <xf numFmtId="171" fontId="0" fillId="4" borderId="2" xfId="0" applyNumberFormat="1" applyFont="1" applyFill="1" applyBorder="1" applyAlignment="1">
      <alignment horizontal="right"/>
    </xf>
    <xf numFmtId="171" fontId="0" fillId="3" borderId="2" xfId="0" applyNumberFormat="1" applyFont="1" applyFill="1" applyBorder="1" applyAlignment="1">
      <alignment horizontal="right"/>
    </xf>
    <xf numFmtId="171" fontId="9" fillId="3" borderId="2" xfId="0" applyNumberFormat="1" applyFont="1" applyFill="1" applyBorder="1" applyAlignment="1">
      <alignment horizontal="right"/>
    </xf>
    <xf numFmtId="171" fontId="9" fillId="3" borderId="0" xfId="0" applyNumberFormat="1" applyFont="1" applyFill="1" applyAlignment="1">
      <alignment horizontal="right"/>
    </xf>
    <xf numFmtId="171" fontId="0" fillId="3" borderId="2" xfId="0" applyNumberFormat="1" applyFont="1" applyFill="1" applyBorder="1" applyAlignment="1">
      <alignment horizontal="left" indent="1"/>
    </xf>
    <xf numFmtId="171" fontId="9" fillId="4" borderId="2" xfId="0" applyNumberFormat="1" applyFont="1" applyFill="1" applyBorder="1" applyAlignment="1">
      <alignment horizontal="right"/>
    </xf>
    <xf numFmtId="173" fontId="3" fillId="3" borderId="0" xfId="16" applyNumberFormat="1" applyFont="1" applyFill="1" applyAlignment="1">
      <alignment horizontal="left"/>
      <protection/>
    </xf>
    <xf numFmtId="176" fontId="7" fillId="3" borderId="0" xfId="0" applyNumberFormat="1" applyFont="1" applyFill="1"/>
    <xf numFmtId="171" fontId="0" fillId="3" borderId="2" xfId="0" applyNumberFormat="1" applyFont="1" applyFill="1" applyBorder="1" applyAlignment="1">
      <alignment horizontal="left" indent="2"/>
    </xf>
    <xf numFmtId="171" fontId="9" fillId="4" borderId="0" xfId="0" applyNumberFormat="1" applyFont="1" applyFill="1"/>
    <xf numFmtId="171" fontId="0" fillId="4" borderId="2" xfId="0" applyNumberFormat="1" applyFont="1" applyFill="1" applyBorder="1"/>
    <xf numFmtId="171" fontId="0" fillId="3" borderId="2" xfId="0" applyNumberFormat="1" applyFont="1" applyFill="1" applyBorder="1"/>
    <xf numFmtId="171" fontId="29" fillId="3" borderId="0" xfId="16" applyNumberFormat="1" applyFont="1" applyFill="1">
      <alignment/>
      <protection/>
    </xf>
    <xf numFmtId="171" fontId="23" fillId="4" borderId="0" xfId="0" applyNumberFormat="1" applyFont="1" applyFill="1" applyAlignment="1">
      <alignment horizontal="right"/>
    </xf>
    <xf numFmtId="171" fontId="9" fillId="3" borderId="2" xfId="0" applyNumberFormat="1" applyFont="1" applyFill="1" applyBorder="1"/>
    <xf numFmtId="171" fontId="9" fillId="4" borderId="2" xfId="0" applyNumberFormat="1" applyFont="1" applyFill="1" applyBorder="1"/>
    <xf numFmtId="182" fontId="3" fillId="3" borderId="0" xfId="0" applyNumberFormat="1" applyFont="1" applyFill="1"/>
    <xf numFmtId="171" fontId="29" fillId="3" borderId="0" xfId="0" applyNumberFormat="1" applyFont="1" applyFill="1" applyAlignment="1">
      <alignment horizontal="left" indent="1"/>
    </xf>
    <xf numFmtId="171" fontId="23" fillId="3" borderId="0" xfId="0" applyNumberFormat="1" applyFont="1" applyFill="1"/>
    <xf numFmtId="173" fontId="29" fillId="3" borderId="0" xfId="0" applyNumberFormat="1" applyFont="1" applyFill="1" applyAlignment="1">
      <alignment horizontal="left" indent="1"/>
    </xf>
    <xf numFmtId="173" fontId="23" fillId="3" borderId="0" xfId="0" applyNumberFormat="1" applyFont="1" applyFill="1"/>
    <xf numFmtId="173" fontId="23" fillId="4" borderId="0" xfId="0" applyNumberFormat="1" applyFont="1" applyFill="1" applyAlignment="1">
      <alignment horizontal="right"/>
    </xf>
    <xf numFmtId="181" fontId="29" fillId="3" borderId="0" xfId="0" applyNumberFormat="1" applyFont="1" applyFill="1" applyAlignment="1">
      <alignment horizontal="left" indent="1"/>
    </xf>
    <xf numFmtId="181" fontId="23" fillId="3" borderId="0" xfId="0" applyNumberFormat="1" applyFont="1" applyFill="1"/>
    <xf numFmtId="181" fontId="23" fillId="4" borderId="0" xfId="0" applyNumberFormat="1" applyFont="1" applyFill="1" applyAlignment="1">
      <alignment horizontal="right"/>
    </xf>
    <xf numFmtId="171" fontId="5" fillId="3" borderId="0" xfId="0" applyNumberFormat="1" applyFont="1" applyFill="1" applyAlignment="1">
      <alignment horizontal="left" indent="1"/>
    </xf>
    <xf numFmtId="171" fontId="7" fillId="3" borderId="7" xfId="0" applyNumberFormat="1" applyFont="1" applyFill="1" applyBorder="1" applyAlignment="1">
      <alignment horizontal="left"/>
    </xf>
    <xf numFmtId="171" fontId="7" fillId="4" borderId="7" xfId="0" applyNumberFormat="1" applyFont="1" applyFill="1" applyBorder="1"/>
    <xf numFmtId="171" fontId="7" fillId="3" borderId="7" xfId="0" applyNumberFormat="1" applyFont="1" applyFill="1" applyBorder="1"/>
    <xf numFmtId="168" fontId="32" fillId="5" borderId="0" xfId="30" applyNumberFormat="1" applyFont="1" applyFill="1">
      <alignment/>
      <protection/>
    </xf>
    <xf numFmtId="171" fontId="22" fillId="5" borderId="0" xfId="30" applyNumberFormat="1" applyFont="1" applyFill="1">
      <alignment/>
      <protection/>
    </xf>
    <xf numFmtId="171" fontId="33" fillId="5" borderId="0" xfId="30" applyNumberFormat="1" applyFont="1" applyFill="1">
      <alignment/>
      <protection/>
    </xf>
    <xf numFmtId="168" fontId="22" fillId="5" borderId="0" xfId="30" applyNumberFormat="1" applyFont="1" applyFill="1">
      <alignment/>
      <protection/>
    </xf>
    <xf numFmtId="168" fontId="31" fillId="3" borderId="0" xfId="30" applyNumberFormat="1" applyFont="1" applyFill="1" applyAlignment="1">
      <alignment horizontal="center"/>
      <protection/>
    </xf>
    <xf numFmtId="173" fontId="26" fillId="4" borderId="0" xfId="30" applyNumberFormat="1" applyFont="1" applyFill="1">
      <alignment/>
      <protection/>
    </xf>
    <xf numFmtId="170" fontId="26" fillId="4" borderId="0" xfId="30" applyNumberFormat="1" applyFont="1" applyFill="1">
      <alignment/>
      <protection/>
    </xf>
    <xf numFmtId="170" fontId="26" fillId="3" borderId="0" xfId="30" applyNumberFormat="1" applyFont="1" applyFill="1">
      <alignment/>
      <protection/>
    </xf>
    <xf numFmtId="171" fontId="25" fillId="4" borderId="0" xfId="30" applyNumberFormat="1" applyFont="1" applyFill="1">
      <alignment/>
      <protection/>
    </xf>
    <xf numFmtId="171" fontId="25" fillId="3" borderId="0" xfId="30" applyNumberFormat="1" applyFont="1" applyFill="1">
      <alignment/>
      <protection/>
    </xf>
    <xf numFmtId="171" fontId="25" fillId="4" borderId="2" xfId="30" applyNumberFormat="1" applyFont="1" applyFill="1" applyBorder="1">
      <alignment/>
      <protection/>
    </xf>
    <xf numFmtId="171" fontId="25" fillId="3" borderId="2" xfId="30" applyNumberFormat="1" applyFont="1" applyFill="1" applyBorder="1">
      <alignment/>
      <protection/>
    </xf>
    <xf numFmtId="171" fontId="26" fillId="4" borderId="0" xfId="30" applyNumberFormat="1" applyFont="1" applyFill="1">
      <alignment/>
      <protection/>
    </xf>
    <xf numFmtId="171" fontId="26" fillId="3" borderId="0" xfId="30" applyNumberFormat="1" applyFont="1" applyFill="1">
      <alignment/>
      <protection/>
    </xf>
    <xf numFmtId="173" fontId="26" fillId="3" borderId="0" xfId="30" applyNumberFormat="1" applyFont="1" applyFill="1">
      <alignment/>
      <protection/>
    </xf>
    <xf numFmtId="171" fontId="26" fillId="3" borderId="0" xfId="30" applyNumberFormat="1" applyFont="1" applyFill="1" applyAlignment="1">
      <alignment horizontal="center"/>
      <protection/>
    </xf>
    <xf numFmtId="171" fontId="25" fillId="3" borderId="0" xfId="30" applyNumberFormat="1" applyFont="1" applyFill="1" applyAlignment="1">
      <alignment horizontal="center"/>
      <protection/>
    </xf>
    <xf numFmtId="181" fontId="26" fillId="4" borderId="0" xfId="30" applyNumberFormat="1" applyFont="1" applyFill="1" applyAlignment="1">
      <alignment horizontal="right"/>
      <protection/>
    </xf>
    <xf numFmtId="181" fontId="26" fillId="3" borderId="0" xfId="30" applyNumberFormat="1" applyFont="1" applyFill="1" applyAlignment="1">
      <alignment horizontal="right"/>
      <protection/>
    </xf>
    <xf numFmtId="171" fontId="25" fillId="4" borderId="0" xfId="30" applyNumberFormat="1" applyFont="1" applyFill="1" applyAlignment="1">
      <alignment horizontal="right"/>
      <protection/>
    </xf>
    <xf numFmtId="171" fontId="25" fillId="3" borderId="0" xfId="30" applyNumberFormat="1" applyFont="1" applyFill="1" applyAlignment="1">
      <alignment horizontal="right"/>
      <protection/>
    </xf>
    <xf numFmtId="174" fontId="25" fillId="4" borderId="0" xfId="30" applyNumberFormat="1" applyFont="1" applyFill="1" applyAlignment="1">
      <alignment horizontal="right"/>
      <protection/>
    </xf>
    <xf numFmtId="174" fontId="25" fillId="3" borderId="0" xfId="30" applyNumberFormat="1" applyFont="1" applyFill="1">
      <alignment/>
      <protection/>
    </xf>
    <xf numFmtId="170" fontId="0" fillId="4" borderId="2" xfId="0" applyNumberFormat="1" applyFont="1" applyFill="1" applyBorder="1"/>
    <xf numFmtId="170" fontId="7" fillId="3" borderId="7" xfId="0" applyNumberFormat="1" applyFont="1" applyFill="1" applyBorder="1" applyAlignment="1">
      <alignment horizontal="left" indent="1"/>
    </xf>
    <xf numFmtId="170" fontId="7" fillId="4" borderId="7" xfId="0" applyNumberFormat="1" applyFont="1" applyFill="1" applyBorder="1"/>
    <xf numFmtId="170" fontId="7" fillId="3" borderId="7" xfId="0" applyNumberFormat="1" applyFont="1" applyFill="1" applyBorder="1"/>
    <xf numFmtId="170" fontId="7" fillId="4" borderId="7" xfId="0" applyNumberFormat="1" applyFont="1" applyFill="1" applyBorder="1" applyAlignment="1">
      <alignment horizontal="right"/>
    </xf>
    <xf numFmtId="170" fontId="7" fillId="3" borderId="7" xfId="0" applyNumberFormat="1" applyFont="1" applyFill="1" applyBorder="1" applyAlignment="1">
      <alignment horizontal="right"/>
    </xf>
    <xf numFmtId="170" fontId="0" fillId="3" borderId="2" xfId="0" applyNumberFormat="1" applyFont="1" applyFill="1" applyBorder="1" applyAlignment="1">
      <alignment horizontal="left" indent="2"/>
    </xf>
    <xf numFmtId="170" fontId="7" fillId="3" borderId="7" xfId="0" applyNumberFormat="1" applyFont="1" applyFill="1" applyBorder="1" applyAlignment="1">
      <alignment horizontal="left"/>
    </xf>
    <xf numFmtId="170" fontId="7" fillId="3" borderId="0" xfId="0" applyNumberFormat="1" applyFont="1" applyFill="1" applyAlignment="1">
      <alignment horizontal="left"/>
    </xf>
    <xf numFmtId="170" fontId="8" fillId="3" borderId="2" xfId="16" applyNumberFormat="1" applyFont="1" applyFill="1" applyBorder="1">
      <alignment/>
      <protection/>
    </xf>
    <xf numFmtId="170" fontId="0" fillId="4" borderId="2" xfId="0" applyNumberFormat="1" applyFont="1" applyFill="1" applyBorder="1" applyAlignment="1">
      <alignment horizontal="right"/>
    </xf>
    <xf numFmtId="170" fontId="0" fillId="3" borderId="2" xfId="0" applyNumberFormat="1" applyFont="1" applyFill="1" applyBorder="1" applyAlignment="1">
      <alignment horizontal="right"/>
    </xf>
    <xf numFmtId="170" fontId="29" fillId="3" borderId="0" xfId="0" applyNumberFormat="1" applyFont="1" applyFill="1" applyAlignment="1">
      <alignment horizontal="left" indent="1"/>
    </xf>
    <xf numFmtId="170" fontId="9" fillId="3" borderId="2" xfId="0" applyNumberFormat="1" applyFont="1" applyFill="1" applyBorder="1"/>
    <xf numFmtId="170" fontId="9" fillId="4" borderId="2" xfId="0" applyNumberFormat="1" applyFont="1" applyFill="1" applyBorder="1"/>
    <xf numFmtId="170" fontId="23" fillId="3" borderId="0" xfId="0" applyNumberFormat="1" applyFont="1" applyFill="1"/>
    <xf numFmtId="171" fontId="7" fillId="4" borderId="7" xfId="0" applyNumberFormat="1" applyFont="1" applyFill="1" applyBorder="1" applyAlignment="1">
      <alignment horizontal="right"/>
    </xf>
    <xf numFmtId="171" fontId="7" fillId="3" borderId="7" xfId="0" applyNumberFormat="1" applyFont="1" applyFill="1" applyBorder="1" applyAlignment="1">
      <alignment horizontal="right"/>
    </xf>
    <xf numFmtId="170" fontId="28" fillId="3" borderId="2" xfId="0" applyNumberFormat="1" applyFont="1" applyFill="1" applyBorder="1"/>
    <xf numFmtId="170" fontId="9" fillId="4" borderId="0" xfId="0" applyNumberFormat="1" applyFont="1" applyFill="1"/>
    <xf numFmtId="170" fontId="9" fillId="3" borderId="0" xfId="0" applyNumberFormat="1" applyFont="1" applyFill="1"/>
    <xf numFmtId="170" fontId="0" fillId="3" borderId="0" xfId="0" applyNumberFormat="1" applyFont="1" applyFill="1" applyAlignment="1">
      <alignment horizontal="left" indent="1"/>
    </xf>
    <xf numFmtId="170" fontId="0" fillId="3" borderId="2" xfId="0" applyNumberFormat="1" applyFont="1" applyFill="1" applyBorder="1" applyAlignment="1">
      <alignment horizontal="left" indent="1"/>
    </xf>
    <xf numFmtId="170" fontId="13" fillId="3" borderId="0" xfId="0" applyNumberFormat="1" applyFont="1" applyFill="1"/>
    <xf numFmtId="170" fontId="13" fillId="4" borderId="0" xfId="0" applyNumberFormat="1" applyFont="1" applyFill="1"/>
    <xf numFmtId="170" fontId="28" fillId="3" borderId="0" xfId="0" applyNumberFormat="1" applyFont="1" applyFill="1" applyAlignment="1">
      <alignment horizontal="left" indent="1"/>
    </xf>
    <xf numFmtId="170" fontId="28" fillId="3" borderId="0" xfId="0" applyNumberFormat="1" applyFont="1" applyFill="1"/>
    <xf numFmtId="170" fontId="27" fillId="3" borderId="7" xfId="0" applyNumberFormat="1" applyFont="1" applyFill="1" applyBorder="1" applyAlignment="1">
      <alignment horizontal="left"/>
    </xf>
    <xf numFmtId="170" fontId="27" fillId="4" borderId="7" xfId="0" applyNumberFormat="1" applyFont="1" applyFill="1" applyBorder="1"/>
    <xf numFmtId="170" fontId="27" fillId="3" borderId="7" xfId="0" applyNumberFormat="1" applyFont="1" applyFill="1" applyBorder="1"/>
    <xf numFmtId="170" fontId="27" fillId="3" borderId="0" xfId="0" applyNumberFormat="1" applyFont="1" applyFill="1" applyAlignment="1">
      <alignment horizontal="left"/>
    </xf>
    <xf numFmtId="170" fontId="27" fillId="3" borderId="0" xfId="0" applyNumberFormat="1" applyFont="1" applyFill="1"/>
    <xf numFmtId="170" fontId="0" fillId="3" borderId="7" xfId="0" applyNumberFormat="1" applyFont="1" applyFill="1" applyBorder="1"/>
    <xf numFmtId="170" fontId="0" fillId="4" borderId="7" xfId="0" applyNumberFormat="1" applyFont="1" applyFill="1" applyBorder="1"/>
    <xf numFmtId="170" fontId="0" fillId="3" borderId="0" xfId="0" applyNumberFormat="1" applyFont="1" applyFill="1" applyAlignment="1">
      <alignment horizontal="left" indent="3"/>
    </xf>
    <xf numFmtId="170" fontId="19" fillId="3" borderId="0" xfId="0" applyNumberFormat="1" applyFont="1" applyFill="1"/>
    <xf numFmtId="170" fontId="7" fillId="3" borderId="9" xfId="0" applyNumberFormat="1" applyFont="1" applyFill="1" applyBorder="1" applyAlignment="1">
      <alignment horizontal="left"/>
    </xf>
    <xf numFmtId="170" fontId="7" fillId="4" borderId="9" xfId="0" applyNumberFormat="1" applyFont="1" applyFill="1" applyBorder="1"/>
    <xf numFmtId="170" fontId="7" fillId="3" borderId="9" xfId="0" applyNumberFormat="1" applyFont="1" applyFill="1" applyBorder="1"/>
    <xf numFmtId="170" fontId="0" fillId="3" borderId="0" xfId="0" applyNumberFormat="1" applyFont="1" applyFill="1" applyAlignment="1">
      <alignment horizontal="left"/>
    </xf>
    <xf numFmtId="170" fontId="20" fillId="3" borderId="0" xfId="16" applyNumberFormat="1" applyFont="1" applyFill="1">
      <alignment/>
      <protection/>
    </xf>
    <xf numFmtId="170" fontId="25" fillId="4" borderId="0" xfId="0" applyNumberFormat="1" applyFont="1" applyFill="1" applyAlignment="1">
      <alignment horizontal="right"/>
    </xf>
    <xf numFmtId="170" fontId="0" fillId="3" borderId="2" xfId="0" applyNumberFormat="1" applyFont="1" applyFill="1" applyBorder="1" applyAlignment="1">
      <alignment horizontal="left" indent="3"/>
    </xf>
    <xf numFmtId="170" fontId="20" fillId="3" borderId="2" xfId="16" applyNumberFormat="1" applyFont="1" applyFill="1" applyBorder="1">
      <alignment/>
      <protection/>
    </xf>
    <xf numFmtId="170" fontId="25" fillId="4" borderId="2" xfId="0" applyNumberFormat="1" applyFont="1" applyFill="1" applyBorder="1" applyAlignment="1">
      <alignment horizontal="right"/>
    </xf>
    <xf numFmtId="170" fontId="31" fillId="3" borderId="0" xfId="16" applyNumberFormat="1" applyFont="1" applyFill="1">
      <alignment/>
      <protection/>
    </xf>
    <xf numFmtId="170" fontId="26" fillId="4" borderId="0" xfId="0" applyNumberFormat="1" applyFont="1" applyFill="1" applyAlignment="1">
      <alignment horizontal="right"/>
    </xf>
    <xf numFmtId="170" fontId="26" fillId="4" borderId="0" xfId="0" applyNumberFormat="1" applyFont="1" applyFill="1"/>
    <xf numFmtId="170" fontId="25" fillId="4" borderId="0" xfId="0" applyNumberFormat="1" applyFont="1" applyFill="1"/>
    <xf numFmtId="170" fontId="20" fillId="2" borderId="0" xfId="23" applyNumberFormat="1" applyFont="1" applyFill="1">
      <alignment/>
      <protection/>
    </xf>
    <xf numFmtId="170" fontId="20" fillId="2" borderId="0" xfId="23" applyNumberFormat="1" applyFont="1" applyFill="1" applyAlignment="1">
      <alignment horizontal="right"/>
      <protection/>
    </xf>
    <xf numFmtId="170" fontId="3" fillId="3" borderId="0" xfId="0" applyNumberFormat="1" applyFont="1" applyFill="1"/>
    <xf numFmtId="170" fontId="25" fillId="4" borderId="0" xfId="30" applyNumberFormat="1" applyFont="1" applyFill="1">
      <alignment/>
      <protection/>
    </xf>
    <xf numFmtId="170" fontId="25" fillId="3" borderId="0" xfId="30" applyNumberFormat="1" applyFont="1" applyFill="1">
      <alignment/>
      <protection/>
    </xf>
    <xf numFmtId="170" fontId="25" fillId="4" borderId="2" xfId="30" applyNumberFormat="1" applyFont="1" applyFill="1" applyBorder="1">
      <alignment/>
      <protection/>
    </xf>
    <xf numFmtId="170" fontId="25" fillId="3" borderId="2" xfId="30" applyNumberFormat="1" applyFont="1" applyFill="1" applyBorder="1">
      <alignment/>
      <protection/>
    </xf>
    <xf numFmtId="170" fontId="26" fillId="4" borderId="7" xfId="30" applyNumberFormat="1" applyFont="1" applyFill="1" applyBorder="1">
      <alignment/>
      <protection/>
    </xf>
    <xf numFmtId="170" fontId="26" fillId="3" borderId="7" xfId="30" applyNumberFormat="1" applyFont="1" applyFill="1" applyBorder="1">
      <alignment/>
      <protection/>
    </xf>
    <xf numFmtId="170" fontId="32" fillId="5" borderId="0" xfId="30" applyNumberFormat="1" applyFont="1" applyFill="1">
      <alignment/>
      <protection/>
    </xf>
    <xf numFmtId="170" fontId="33" fillId="5" borderId="0" xfId="30" applyNumberFormat="1" applyFont="1" applyFill="1">
      <alignment/>
      <protection/>
    </xf>
    <xf numFmtId="170" fontId="25" fillId="4" borderId="0" xfId="30" applyNumberFormat="1" applyFont="1" applyFill="1" applyAlignment="1">
      <alignment horizontal="right"/>
      <protection/>
    </xf>
    <xf numFmtId="170" fontId="25" fillId="3" borderId="0" xfId="30" applyNumberFormat="1" applyFont="1" applyFill="1" applyAlignment="1">
      <alignment horizontal="right"/>
      <protection/>
    </xf>
    <xf numFmtId="170" fontId="25" fillId="4" borderId="2" xfId="30" applyNumberFormat="1" applyFont="1" applyFill="1" applyBorder="1" applyAlignment="1">
      <alignment horizontal="right"/>
      <protection/>
    </xf>
    <xf numFmtId="170" fontId="25" fillId="3" borderId="2" xfId="30" applyNumberFormat="1" applyFont="1" applyFill="1" applyBorder="1" applyAlignment="1">
      <alignment horizontal="right"/>
      <protection/>
    </xf>
    <xf numFmtId="174" fontId="2" fillId="3" borderId="0" xfId="0" applyNumberFormat="1" applyFont="1" applyFill="1"/>
    <xf numFmtId="170" fontId="2" fillId="3" borderId="0" xfId="0" applyNumberFormat="1" applyFont="1" applyFill="1" applyAlignment="1">
      <alignment horizontal="left" indent="1"/>
    </xf>
    <xf numFmtId="170" fontId="26" fillId="3" borderId="0" xfId="0" applyNumberFormat="1" applyFont="1" applyFill="1"/>
    <xf numFmtId="171" fontId="13" fillId="3" borderId="0" xfId="0" applyNumberFormat="1" applyFont="1" applyFill="1"/>
    <xf numFmtId="171" fontId="21" fillId="3" borderId="0" xfId="0" applyNumberFormat="1" applyFont="1" applyFill="1"/>
    <xf numFmtId="170" fontId="0" fillId="3" borderId="0" xfId="0" applyNumberFormat="1" applyFont="1" applyFill="1" applyAlignment="1">
      <alignment horizontal="left" indent="2"/>
    </xf>
    <xf numFmtId="171" fontId="0" fillId="3" borderId="0" xfId="0" applyNumberFormat="1" applyFont="1" applyFill="1" applyAlignment="1">
      <alignment horizontal="left" indent="2"/>
    </xf>
    <xf numFmtId="170" fontId="23" fillId="3" borderId="0" xfId="0" applyNumberFormat="1" applyFont="1" applyFill="1" applyAlignment="1">
      <alignment horizontal="left" indent="3"/>
    </xf>
    <xf numFmtId="170" fontId="23" fillId="3" borderId="0" xfId="0" applyNumberFormat="1" applyFont="1" applyFill="1" applyAlignment="1">
      <alignment horizontal="left" indent="4"/>
    </xf>
    <xf numFmtId="171" fontId="23" fillId="3" borderId="0" xfId="0" applyNumberFormat="1" applyFont="1" applyFill="1" applyAlignment="1">
      <alignment horizontal="left" indent="4"/>
    </xf>
    <xf numFmtId="173" fontId="23" fillId="3" borderId="0" xfId="0" applyNumberFormat="1" applyFont="1" applyFill="1" applyAlignment="1">
      <alignment horizontal="left" indent="3"/>
    </xf>
    <xf numFmtId="181" fontId="23" fillId="3" borderId="0" xfId="0" applyNumberFormat="1" applyFont="1" applyFill="1" applyAlignment="1">
      <alignment horizontal="left" indent="3"/>
    </xf>
    <xf numFmtId="171" fontId="9" fillId="3" borderId="0" xfId="0" applyNumberFormat="1" applyFont="1" applyFill="1"/>
    <xf numFmtId="176" fontId="13" fillId="3" borderId="0" xfId="16" applyNumberFormat="1" applyFont="1" applyFill="1">
      <alignment/>
      <protection/>
    </xf>
    <xf numFmtId="170" fontId="25" fillId="3" borderId="0" xfId="0" applyNumberFormat="1" applyFont="1" applyFill="1"/>
    <xf numFmtId="17" fontId="35" fillId="3" borderId="0" xfId="30" applyNumberFormat="1" applyFont="1" applyFill="1" applyAlignment="1">
      <alignment horizontal="center"/>
      <protection/>
    </xf>
    <xf numFmtId="0" fontId="38" fillId="3" borderId="0" xfId="30" applyFont="1" applyFill="1">
      <alignment/>
      <protection/>
    </xf>
    <xf numFmtId="172" fontId="39" fillId="3" borderId="0" xfId="24" applyNumberFormat="1" applyFont="1" applyFill="1" applyAlignment="1">
      <alignment horizontal="left"/>
      <protection/>
    </xf>
    <xf numFmtId="0" fontId="25" fillId="3" borderId="0" xfId="30" applyFont="1" applyFill="1">
      <alignment/>
      <protection/>
    </xf>
    <xf numFmtId="0" fontId="26" fillId="3" borderId="0" xfId="30" applyFont="1" applyFill="1">
      <alignment/>
      <protection/>
    </xf>
    <xf numFmtId="0" fontId="23" fillId="3" borderId="0" xfId="30" applyFont="1" applyFill="1">
      <alignment/>
      <protection/>
    </xf>
    <xf numFmtId="0" fontId="25" fillId="3" borderId="0" xfId="30" applyFont="1" applyFill="1" applyAlignment="1">
      <alignment horizontal="left"/>
      <protection/>
    </xf>
    <xf numFmtId="166" fontId="25" fillId="3" borderId="0" xfId="16" applyFont="1" applyFill="1">
      <alignment/>
      <protection/>
    </xf>
    <xf numFmtId="166" fontId="26" fillId="3" borderId="0" xfId="16" applyFont="1" applyFill="1" applyAlignment="1">
      <alignment horizontal="center"/>
      <protection/>
    </xf>
    <xf numFmtId="14" fontId="25" fillId="3" borderId="0" xfId="30" applyNumberFormat="1" applyFont="1" applyFill="1" applyAlignment="1">
      <alignment horizontal="left"/>
      <protection/>
    </xf>
    <xf numFmtId="0" fontId="25" fillId="3" borderId="0" xfId="30" applyFont="1" applyFill="1" applyAlignment="1">
      <alignment horizontal="center"/>
      <protection/>
    </xf>
    <xf numFmtId="0" fontId="22" fillId="5" borderId="0" xfId="30" applyFont="1" applyFill="1" applyAlignment="1">
      <alignment horizontal="left"/>
      <protection/>
    </xf>
    <xf numFmtId="0" fontId="22" fillId="5" borderId="0" xfId="30" applyFont="1" applyFill="1" applyAlignment="1">
      <alignment horizontal="centerContinuous"/>
      <protection/>
    </xf>
    <xf numFmtId="0" fontId="22" fillId="5" borderId="0" xfId="30" applyFont="1" applyFill="1" applyAlignment="1">
      <alignment horizontal="center"/>
      <protection/>
    </xf>
    <xf numFmtId="171" fontId="22" fillId="5" borderId="0" xfId="30" applyNumberFormat="1" applyFont="1" applyFill="1" applyAlignment="1">
      <alignment horizontal="center"/>
      <protection/>
    </xf>
    <xf numFmtId="0" fontId="25" fillId="6" borderId="0" xfId="30" applyFont="1" applyFill="1">
      <alignment/>
      <protection/>
    </xf>
    <xf numFmtId="0" fontId="23" fillId="6" borderId="0" xfId="30" applyFont="1" applyFill="1">
      <alignment/>
      <protection/>
    </xf>
    <xf numFmtId="166" fontId="25" fillId="6" borderId="0" xfId="16" applyFont="1" applyFill="1">
      <alignment/>
      <protection/>
    </xf>
    <xf numFmtId="14" fontId="25" fillId="6" borderId="0" xfId="30" applyNumberFormat="1" applyFont="1" applyFill="1" applyAlignment="1">
      <alignment horizontal="left"/>
      <protection/>
    </xf>
    <xf numFmtId="0" fontId="22" fillId="3" borderId="0" xfId="30" applyFont="1" applyFill="1" applyAlignment="1">
      <alignment horizontal="left"/>
      <protection/>
    </xf>
    <xf numFmtId="0" fontId="22" fillId="3" borderId="0" xfId="30" applyFont="1" applyFill="1" applyAlignment="1">
      <alignment horizontal="center"/>
      <protection/>
    </xf>
    <xf numFmtId="0" fontId="26" fillId="6" borderId="0" xfId="30" applyFont="1" applyFill="1">
      <alignment/>
      <protection/>
    </xf>
    <xf numFmtId="0" fontId="40" fillId="6" borderId="0" xfId="24" applyFont="1" applyFill="1">
      <alignment/>
      <protection/>
    </xf>
    <xf numFmtId="0" fontId="40" fillId="3" borderId="0" xfId="24" applyFont="1" applyFill="1">
      <alignment/>
      <protection/>
    </xf>
    <xf numFmtId="0" fontId="41" fillId="3" borderId="0" xfId="30" applyFont="1" applyFill="1">
      <alignment/>
      <protection/>
    </xf>
    <xf numFmtId="168" fontId="31" fillId="3" borderId="0" xfId="30" applyNumberFormat="1" applyFont="1" applyFill="1" applyAlignment="1">
      <alignment horizontal="left"/>
      <protection/>
    </xf>
    <xf numFmtId="168" fontId="35" fillId="3" borderId="0" xfId="30" applyNumberFormat="1" applyFont="1" applyFill="1" applyAlignment="1">
      <alignment horizontal="center"/>
      <protection/>
    </xf>
    <xf numFmtId="168" fontId="25" fillId="3" borderId="0" xfId="30" applyNumberFormat="1" applyFont="1" applyFill="1" applyAlignment="1">
      <alignment horizontal="left" indent="1"/>
      <protection/>
    </xf>
    <xf numFmtId="168" fontId="25" fillId="3" borderId="0" xfId="30" applyNumberFormat="1" applyFont="1" applyFill="1" applyAlignment="1">
      <alignment horizontal="left" indent="3"/>
      <protection/>
    </xf>
    <xf numFmtId="168" fontId="26" fillId="3" borderId="7" xfId="30" applyNumberFormat="1" applyFont="1" applyFill="1" applyBorder="1" applyAlignment="1">
      <alignment horizontal="left"/>
      <protection/>
    </xf>
    <xf numFmtId="168" fontId="26" fillId="3" borderId="7" xfId="30" applyNumberFormat="1" applyFont="1" applyFill="1" applyBorder="1" applyAlignment="1">
      <alignment horizontal="left" indent="3"/>
      <protection/>
    </xf>
    <xf numFmtId="170" fontId="26" fillId="3" borderId="0" xfId="30" applyNumberFormat="1" applyFont="1" applyFill="1" applyAlignment="1">
      <alignment horizontal="left"/>
      <protection/>
    </xf>
    <xf numFmtId="170" fontId="26" fillId="3" borderId="0" xfId="30" applyNumberFormat="1" applyFont="1" applyFill="1" applyAlignment="1">
      <alignment horizontal="left" indent="3"/>
      <protection/>
    </xf>
    <xf numFmtId="170" fontId="25" fillId="3" borderId="0" xfId="30" applyNumberFormat="1" applyFont="1" applyFill="1" applyAlignment="1">
      <alignment horizontal="left" indent="1"/>
      <protection/>
    </xf>
    <xf numFmtId="170" fontId="25" fillId="3" borderId="0" xfId="30" applyNumberFormat="1" applyFont="1" applyFill="1" applyAlignment="1">
      <alignment horizontal="left" indent="3"/>
      <protection/>
    </xf>
    <xf numFmtId="170" fontId="25" fillId="3" borderId="2" xfId="30" applyNumberFormat="1" applyFont="1" applyFill="1" applyBorder="1" applyAlignment="1">
      <alignment horizontal="left" indent="1"/>
      <protection/>
    </xf>
    <xf numFmtId="170" fontId="25" fillId="3" borderId="2" xfId="30" applyNumberFormat="1" applyFont="1" applyFill="1" applyBorder="1" applyAlignment="1">
      <alignment horizontal="left" indent="3"/>
      <protection/>
    </xf>
    <xf numFmtId="170" fontId="25" fillId="3" borderId="0" xfId="30" applyNumberFormat="1" applyFont="1" applyFill="1" applyAlignment="1">
      <alignment horizontal="left" indent="2"/>
      <protection/>
    </xf>
    <xf numFmtId="171" fontId="25" fillId="3" borderId="0" xfId="30" applyNumberFormat="1" applyFont="1" applyFill="1" applyAlignment="1">
      <alignment horizontal="left" indent="1"/>
      <protection/>
    </xf>
    <xf numFmtId="171" fontId="25" fillId="3" borderId="0" xfId="30" applyNumberFormat="1" applyFont="1" applyFill="1" applyAlignment="1">
      <alignment horizontal="left" indent="3"/>
      <protection/>
    </xf>
    <xf numFmtId="171" fontId="25" fillId="3" borderId="2" xfId="30" applyNumberFormat="1" applyFont="1" applyFill="1" applyBorder="1" applyAlignment="1">
      <alignment horizontal="left" indent="1"/>
      <protection/>
    </xf>
    <xf numFmtId="171" fontId="25" fillId="3" borderId="2" xfId="30" applyNumberFormat="1" applyFont="1" applyFill="1" applyBorder="1" applyAlignment="1">
      <alignment horizontal="left" indent="3"/>
      <protection/>
    </xf>
    <xf numFmtId="171" fontId="26" fillId="3" borderId="0" xfId="30" applyNumberFormat="1" applyFont="1" applyFill="1" applyAlignment="1">
      <alignment horizontal="left"/>
      <protection/>
    </xf>
    <xf numFmtId="171" fontId="26" fillId="3" borderId="0" xfId="30" applyNumberFormat="1" applyFont="1" applyFill="1" applyAlignment="1">
      <alignment horizontal="left" indent="3"/>
      <protection/>
    </xf>
    <xf numFmtId="170" fontId="26" fillId="3" borderId="7" xfId="30" applyNumberFormat="1" applyFont="1" applyFill="1" applyBorder="1" applyAlignment="1">
      <alignment horizontal="left"/>
      <protection/>
    </xf>
    <xf numFmtId="170" fontId="26" fillId="3" borderId="7" xfId="30" applyNumberFormat="1" applyFont="1" applyFill="1" applyBorder="1" applyAlignment="1">
      <alignment horizontal="left" indent="3"/>
      <protection/>
    </xf>
    <xf numFmtId="173" fontId="31" fillId="3" borderId="0" xfId="21" applyNumberFormat="1" applyFont="1" applyFill="1">
      <alignment/>
      <protection/>
    </xf>
    <xf numFmtId="173" fontId="26" fillId="3" borderId="0" xfId="30" applyNumberFormat="1" applyFont="1" applyFill="1" applyAlignment="1">
      <alignment horizontal="left" indent="3"/>
      <protection/>
    </xf>
    <xf numFmtId="171" fontId="20" fillId="3" borderId="0" xfId="21" applyNumberFormat="1" applyFont="1" applyFill="1">
      <alignment/>
      <protection/>
    </xf>
    <xf numFmtId="166" fontId="26" fillId="3" borderId="0" xfId="30" applyNumberFormat="1" applyFont="1" applyFill="1" applyAlignment="1">
      <alignment horizontal="left"/>
      <protection/>
    </xf>
    <xf numFmtId="166" fontId="31" fillId="3" borderId="0" xfId="21" applyFont="1" applyFill="1">
      <alignment/>
      <protection/>
    </xf>
    <xf numFmtId="166" fontId="25" fillId="3" borderId="0" xfId="30" applyNumberFormat="1" applyFont="1" applyFill="1" applyAlignment="1">
      <alignment horizontal="left"/>
      <protection/>
    </xf>
    <xf numFmtId="181" fontId="26" fillId="3" borderId="0" xfId="30" applyNumberFormat="1" applyFont="1" applyFill="1" applyAlignment="1">
      <alignment horizontal="left"/>
      <protection/>
    </xf>
    <xf numFmtId="181" fontId="31" fillId="3" borderId="0" xfId="21" applyNumberFormat="1" applyFont="1" applyFill="1">
      <alignment/>
      <protection/>
    </xf>
    <xf numFmtId="168" fontId="26" fillId="3" borderId="0" xfId="30" applyNumberFormat="1" applyFont="1" applyFill="1" applyAlignment="1">
      <alignment horizontal="left" indent="3"/>
      <protection/>
    </xf>
    <xf numFmtId="170" fontId="20" fillId="3" borderId="0" xfId="21" applyNumberFormat="1" applyFont="1" applyFill="1">
      <alignment/>
      <protection/>
    </xf>
    <xf numFmtId="170" fontId="20" fillId="3" borderId="2" xfId="21" applyNumberFormat="1" applyFont="1" applyFill="1" applyBorder="1">
      <alignment/>
      <protection/>
    </xf>
    <xf numFmtId="171" fontId="25" fillId="3" borderId="0" xfId="30" applyNumberFormat="1" applyFont="1" applyFill="1" applyAlignment="1">
      <alignment horizontal="left"/>
      <protection/>
    </xf>
    <xf numFmtId="174" fontId="20" fillId="3" borderId="0" xfId="30" applyNumberFormat="1" applyFont="1" applyFill="1">
      <alignment/>
      <protection/>
    </xf>
    <xf numFmtId="174" fontId="25" fillId="3" borderId="0" xfId="30" applyNumberFormat="1" applyFont="1" applyFill="1" applyAlignment="1">
      <alignment horizontal="left" indent="3"/>
      <protection/>
    </xf>
    <xf numFmtId="168" fontId="7" fillId="3" borderId="10" xfId="0" applyNumberFormat="1" applyFont="1" applyFill="1" applyBorder="1"/>
    <xf numFmtId="168" fontId="0" fillId="3" borderId="0" xfId="0" applyNumberFormat="1" applyFill="1"/>
    <xf numFmtId="0" fontId="0" fillId="3" borderId="0" xfId="0" applyFill="1"/>
    <xf numFmtId="187" fontId="0" fillId="3" borderId="0" xfId="0" applyNumberFormat="1" applyFill="1" applyAlignment="1">
      <alignment horizontal="left" indent="1"/>
    </xf>
    <xf numFmtId="187" fontId="0" fillId="3" borderId="0" xfId="0" applyNumberFormat="1" applyFill="1"/>
    <xf numFmtId="187" fontId="0" fillId="3" borderId="0" xfId="0" applyNumberFormat="1" applyFont="1" applyFill="1"/>
    <xf numFmtId="168" fontId="0" fillId="3" borderId="0" xfId="0" applyNumberFormat="1" applyFill="1" applyAlignment="1">
      <alignment horizontal="left" indent="1"/>
    </xf>
    <xf numFmtId="170" fontId="0" fillId="3" borderId="0" xfId="0" applyNumberFormat="1" applyFill="1" applyAlignment="1">
      <alignment horizontal="left" indent="1"/>
    </xf>
    <xf numFmtId="170" fontId="0" fillId="3" borderId="0" xfId="0" applyNumberFormat="1" applyFill="1"/>
    <xf numFmtId="170" fontId="0" fillId="3" borderId="11" xfId="0" applyNumberFormat="1" applyFill="1" applyBorder="1" applyAlignment="1">
      <alignment horizontal="left" indent="1"/>
    </xf>
    <xf numFmtId="170" fontId="0" fillId="3" borderId="11" xfId="0" applyNumberFormat="1" applyFill="1" applyBorder="1"/>
    <xf numFmtId="0" fontId="33" fillId="5" borderId="0" xfId="0" applyFont="1" applyFill="1"/>
    <xf numFmtId="168" fontId="25" fillId="3" borderId="12" xfId="0" applyNumberFormat="1" applyFont="1" applyFill="1" applyBorder="1"/>
    <xf numFmtId="168" fontId="20" fillId="3" borderId="13" xfId="26" applyNumberFormat="1" applyFont="1" applyFill="1" applyBorder="1" applyAlignment="1">
      <alignment horizontal="left" indent="1"/>
      <protection/>
    </xf>
    <xf numFmtId="166" fontId="26" fillId="3" borderId="0" xfId="30" applyNumberFormat="1" applyFont="1" applyFill="1">
      <alignment/>
      <protection/>
    </xf>
    <xf numFmtId="181" fontId="26" fillId="3" borderId="0" xfId="30" applyNumberFormat="1" applyFont="1" applyFill="1">
      <alignment/>
      <protection/>
    </xf>
    <xf numFmtId="188" fontId="0" fillId="3" borderId="0" xfId="0" applyNumberFormat="1" applyFill="1"/>
    <xf numFmtId="188" fontId="9" fillId="3" borderId="0" xfId="0" applyNumberFormat="1" applyFont="1" applyFill="1"/>
    <xf numFmtId="168" fontId="25" fillId="3" borderId="10" xfId="0" applyNumberFormat="1" applyFont="1" applyFill="1" applyBorder="1"/>
    <xf numFmtId="168" fontId="20" fillId="3" borderId="10" xfId="26" applyNumberFormat="1" applyFont="1" applyFill="1" applyBorder="1">
      <alignment/>
      <protection/>
    </xf>
    <xf numFmtId="168" fontId="25" fillId="3" borderId="14" xfId="0" applyNumberFormat="1" applyFont="1" applyFill="1" applyBorder="1"/>
    <xf numFmtId="169" fontId="31" fillId="3" borderId="15" xfId="26" applyNumberFormat="1" applyFont="1" applyFill="1" applyBorder="1" applyAlignment="1">
      <alignment horizontal="left"/>
      <protection/>
    </xf>
    <xf numFmtId="169" fontId="20" fillId="3" borderId="13" xfId="26" applyNumberFormat="1" applyFont="1" applyFill="1" applyBorder="1" applyAlignment="1">
      <alignment horizontal="left"/>
      <protection/>
    </xf>
    <xf numFmtId="17" fontId="25" fillId="3" borderId="0" xfId="0" applyNumberFormat="1" applyFont="1" applyFill="1"/>
    <xf numFmtId="187" fontId="20" fillId="3" borderId="13" xfId="26" applyNumberFormat="1" applyFont="1" applyFill="1" applyBorder="1" applyAlignment="1">
      <alignment horizontal="left" indent="1"/>
      <protection/>
    </xf>
    <xf numFmtId="187" fontId="25" fillId="3" borderId="0" xfId="0" applyNumberFormat="1" applyFont="1" applyFill="1"/>
    <xf numFmtId="187" fontId="25" fillId="3" borderId="12" xfId="0" applyNumberFormat="1" applyFont="1" applyFill="1" applyBorder="1"/>
    <xf numFmtId="187" fontId="20" fillId="3" borderId="13" xfId="26" applyNumberFormat="1" applyFont="1" applyFill="1" applyBorder="1" applyAlignment="1">
      <alignment horizontal="left" indent="2"/>
      <protection/>
    </xf>
    <xf numFmtId="188" fontId="20" fillId="3" borderId="13" xfId="26" applyNumberFormat="1" applyFont="1" applyFill="1" applyBorder="1" applyAlignment="1">
      <alignment horizontal="left" indent="1"/>
      <protection/>
    </xf>
    <xf numFmtId="188" fontId="0" fillId="3" borderId="0" xfId="0" applyNumberFormat="1" applyFont="1" applyFill="1"/>
    <xf numFmtId="188" fontId="20" fillId="3" borderId="13" xfId="26" applyNumberFormat="1" applyFont="1" applyFill="1" applyBorder="1" applyAlignment="1">
      <alignment horizontal="left" indent="2"/>
      <protection/>
    </xf>
    <xf numFmtId="187" fontId="0" fillId="3" borderId="0" xfId="0" applyNumberFormat="1" applyFont="1" applyFill="1" applyAlignment="1">
      <alignment horizontal="left" indent="1"/>
    </xf>
    <xf numFmtId="188" fontId="0" fillId="3" borderId="0" xfId="0" applyNumberFormat="1" applyFont="1" applyFill="1" applyAlignment="1">
      <alignment horizontal="left" indent="1"/>
    </xf>
    <xf numFmtId="168" fontId="25" fillId="3" borderId="16" xfId="0" applyNumberFormat="1" applyFont="1" applyFill="1" applyBorder="1"/>
    <xf numFmtId="187" fontId="25" fillId="3" borderId="17" xfId="0" applyNumberFormat="1" applyFont="1" applyFill="1" applyBorder="1"/>
    <xf numFmtId="0" fontId="0" fillId="3" borderId="0" xfId="0" applyFont="1" applyFill="1" applyBorder="1"/>
    <xf numFmtId="1" fontId="7" fillId="3" borderId="0" xfId="0" applyNumberFormat="1" applyFont="1" applyFill="1" applyBorder="1" applyAlignment="1">
      <alignment horizontal="center"/>
    </xf>
    <xf numFmtId="17" fontId="2" fillId="3" borderId="0" xfId="0" applyNumberFormat="1" applyFont="1" applyFill="1" applyBorder="1" applyAlignment="1">
      <alignment horizontal="center"/>
    </xf>
    <xf numFmtId="171" fontId="22" fillId="5" borderId="0" xfId="0" applyNumberFormat="1" applyFont="1" applyFill="1" applyBorder="1"/>
    <xf numFmtId="171" fontId="0" fillId="4" borderId="0" xfId="0" applyNumberFormat="1" applyFont="1" applyFill="1" applyBorder="1" applyAlignment="1">
      <alignment horizontal="right"/>
    </xf>
    <xf numFmtId="171" fontId="7" fillId="4" borderId="0" xfId="0" applyNumberFormat="1" applyFont="1" applyFill="1" applyBorder="1" applyAlignment="1">
      <alignment horizontal="right"/>
    </xf>
    <xf numFmtId="170" fontId="0" fillId="4" borderId="0" xfId="0" applyNumberFormat="1" applyFont="1" applyFill="1" applyBorder="1"/>
    <xf numFmtId="170" fontId="7" fillId="4" borderId="0" xfId="0" applyNumberFormat="1" applyFont="1" applyFill="1" applyBorder="1"/>
    <xf numFmtId="170" fontId="23" fillId="4" borderId="0" xfId="0" applyNumberFormat="1" applyFont="1" applyFill="1" applyBorder="1"/>
    <xf numFmtId="171" fontId="0" fillId="4" borderId="0" xfId="0" applyNumberFormat="1" applyFont="1" applyFill="1" applyBorder="1"/>
    <xf numFmtId="171" fontId="7" fillId="4" borderId="0" xfId="0" applyNumberFormat="1" applyFont="1" applyFill="1" applyBorder="1"/>
    <xf numFmtId="170" fontId="27" fillId="4" borderId="0" xfId="0" applyNumberFormat="1" applyFont="1" applyFill="1" applyBorder="1"/>
    <xf numFmtId="170" fontId="20" fillId="2" borderId="0" xfId="23" applyNumberFormat="1" applyFont="1" applyFill="1" applyBorder="1" applyAlignment="1">
      <alignment horizontal="right"/>
      <protection/>
    </xf>
    <xf numFmtId="170" fontId="22" fillId="5" borderId="0" xfId="0" applyNumberFormat="1" applyFont="1" applyFill="1" applyBorder="1"/>
    <xf numFmtId="173" fontId="23" fillId="4" borderId="0" xfId="0" applyNumberFormat="1" applyFont="1" applyFill="1" applyBorder="1"/>
    <xf numFmtId="171" fontId="19" fillId="4" borderId="0" xfId="16" applyNumberFormat="1" applyFont="1" applyFill="1" applyBorder="1">
      <alignment/>
      <protection/>
    </xf>
    <xf numFmtId="181" fontId="7" fillId="4" borderId="0" xfId="0" applyNumberFormat="1" applyFont="1" applyFill="1" applyBorder="1"/>
    <xf numFmtId="181" fontId="23" fillId="4" borderId="0" xfId="0" applyNumberFormat="1" applyFont="1" applyFill="1" applyBorder="1"/>
    <xf numFmtId="174" fontId="0" fillId="4" borderId="0" xfId="0" applyNumberFormat="1" applyFont="1" applyFill="1" applyBorder="1" applyAlignment="1">
      <alignment horizontal="right"/>
    </xf>
    <xf numFmtId="187" fontId="0" fillId="4" borderId="0" xfId="0" applyNumberFormat="1" applyFont="1" applyFill="1" applyBorder="1" applyAlignment="1">
      <alignment horizontal="right"/>
    </xf>
    <xf numFmtId="170" fontId="7" fillId="3" borderId="0" xfId="0" applyNumberFormat="1" applyFont="1" applyFill="1" applyBorder="1"/>
    <xf numFmtId="170" fontId="0" fillId="3" borderId="0" xfId="0" applyNumberFormat="1" applyFont="1" applyFill="1" applyBorder="1"/>
    <xf numFmtId="187" fontId="25" fillId="3" borderId="0" xfId="0" applyNumberFormat="1" applyFont="1" applyFill="1" applyBorder="1"/>
    <xf numFmtId="0" fontId="0" fillId="3" borderId="0" xfId="0" applyFill="1" applyBorder="1"/>
    <xf numFmtId="0" fontId="33" fillId="5" borderId="0" xfId="0" applyFont="1" applyFill="1" applyBorder="1"/>
    <xf numFmtId="17" fontId="35" fillId="3" borderId="0" xfId="30" applyNumberFormat="1" applyFont="1" applyFill="1" applyBorder="1" applyAlignment="1">
      <alignment horizontal="center"/>
      <protection/>
    </xf>
    <xf numFmtId="168" fontId="32" fillId="5" borderId="0" xfId="30" applyNumberFormat="1" applyFont="1" applyFill="1" applyBorder="1">
      <alignment/>
      <protection/>
    </xf>
    <xf numFmtId="170" fontId="26" fillId="4" borderId="0" xfId="30" applyNumberFormat="1" applyFont="1" applyFill="1" applyBorder="1">
      <alignment/>
      <protection/>
    </xf>
    <xf numFmtId="170" fontId="25" fillId="4" borderId="0" xfId="30" applyNumberFormat="1" applyFont="1" applyFill="1" applyBorder="1">
      <alignment/>
      <protection/>
    </xf>
    <xf numFmtId="171" fontId="25" fillId="4" borderId="0" xfId="30" applyNumberFormat="1" applyFont="1" applyFill="1" applyBorder="1">
      <alignment/>
      <protection/>
    </xf>
    <xf numFmtId="171" fontId="26" fillId="4" borderId="0" xfId="30" applyNumberFormat="1" applyFont="1" applyFill="1" applyBorder="1">
      <alignment/>
      <protection/>
    </xf>
    <xf numFmtId="173" fontId="26" fillId="4" borderId="0" xfId="30" applyNumberFormat="1" applyFont="1" applyFill="1" applyBorder="1">
      <alignment/>
      <protection/>
    </xf>
    <xf numFmtId="171" fontId="33" fillId="5" borderId="0" xfId="30" applyNumberFormat="1" applyFont="1" applyFill="1" applyBorder="1">
      <alignment/>
      <protection/>
    </xf>
    <xf numFmtId="171" fontId="26" fillId="4" borderId="0" xfId="30" applyNumberFormat="1" applyFont="1" applyFill="1" applyBorder="1" applyAlignment="1">
      <alignment horizontal="center"/>
      <protection/>
    </xf>
    <xf numFmtId="171" fontId="25" fillId="4" borderId="0" xfId="30" applyNumberFormat="1" applyFont="1" applyFill="1" applyBorder="1" applyAlignment="1">
      <alignment horizontal="center"/>
      <protection/>
    </xf>
    <xf numFmtId="181" fontId="26" fillId="4" borderId="0" xfId="30" applyNumberFormat="1" applyFont="1" applyFill="1" applyBorder="1" applyAlignment="1">
      <alignment horizontal="right"/>
      <protection/>
    </xf>
    <xf numFmtId="170" fontId="33" fillId="5" borderId="0" xfId="30" applyNumberFormat="1" applyFont="1" applyFill="1" applyBorder="1">
      <alignment/>
      <protection/>
    </xf>
    <xf numFmtId="170" fontId="25" fillId="4" borderId="0" xfId="30" applyNumberFormat="1" applyFont="1" applyFill="1" applyBorder="1" applyAlignment="1">
      <alignment horizontal="right"/>
      <protection/>
    </xf>
    <xf numFmtId="171" fontId="25" fillId="4" borderId="0" xfId="30" applyNumberFormat="1" applyFont="1" applyFill="1" applyBorder="1" applyAlignment="1">
      <alignment horizontal="right"/>
      <protection/>
    </xf>
    <xf numFmtId="174" fontId="25" fillId="4" borderId="0" xfId="30" applyNumberFormat="1" applyFont="1" applyFill="1" applyBorder="1" applyAlignment="1">
      <alignment horizontal="right"/>
      <protection/>
    </xf>
    <xf numFmtId="0" fontId="3" fillId="3" borderId="0" xfId="0" applyFont="1" applyFill="1" applyBorder="1" applyAlignment="1">
      <alignment horizontal="center"/>
    </xf>
    <xf numFmtId="171" fontId="0" fillId="3" borderId="0" xfId="0" applyNumberFormat="1" applyFont="1" applyFill="1" applyBorder="1" applyAlignment="1">
      <alignment horizontal="right"/>
    </xf>
    <xf numFmtId="171" fontId="7" fillId="3" borderId="0" xfId="0" applyNumberFormat="1" applyFont="1" applyFill="1" applyBorder="1" applyAlignment="1">
      <alignment horizontal="right"/>
    </xf>
    <xf numFmtId="170" fontId="0" fillId="3" borderId="0" xfId="0" applyNumberFormat="1" applyFont="1" applyFill="1" applyBorder="1" applyAlignment="1">
      <alignment horizontal="right"/>
    </xf>
    <xf numFmtId="170" fontId="23" fillId="3" borderId="0" xfId="0" applyNumberFormat="1" applyFont="1" applyFill="1" applyBorder="1"/>
    <xf numFmtId="171" fontId="0" fillId="3" borderId="0" xfId="0" applyNumberFormat="1" applyFont="1" applyFill="1" applyBorder="1"/>
    <xf numFmtId="171" fontId="7" fillId="3" borderId="0" xfId="0" applyNumberFormat="1" applyFont="1" applyFill="1" applyBorder="1"/>
    <xf numFmtId="170" fontId="28" fillId="3" borderId="0" xfId="0" applyNumberFormat="1" applyFont="1" applyFill="1" applyBorder="1"/>
    <xf numFmtId="170" fontId="27" fillId="3" borderId="0" xfId="0" applyNumberFormat="1" applyFont="1" applyFill="1" applyBorder="1"/>
    <xf numFmtId="173" fontId="23" fillId="3" borderId="0" xfId="0" applyNumberFormat="1" applyFont="1" applyFill="1" applyBorder="1"/>
    <xf numFmtId="171" fontId="19" fillId="3" borderId="0" xfId="16" applyNumberFormat="1" applyFont="1" applyFill="1" applyBorder="1">
      <alignment/>
      <protection/>
    </xf>
    <xf numFmtId="181" fontId="7" fillId="3" borderId="0" xfId="0" applyNumberFormat="1" applyFont="1" applyFill="1" applyBorder="1"/>
    <xf numFmtId="181" fontId="23" fillId="3" borderId="0" xfId="0" applyNumberFormat="1" applyFont="1" applyFill="1" applyBorder="1"/>
    <xf numFmtId="187" fontId="0" fillId="3" borderId="0" xfId="0" applyNumberFormat="1" applyFont="1" applyFill="1" applyBorder="1" applyAlignment="1">
      <alignment horizontal="right"/>
    </xf>
    <xf numFmtId="175" fontId="0" fillId="3" borderId="0" xfId="0" applyNumberFormat="1" applyFont="1" applyFill="1" applyBorder="1"/>
    <xf numFmtId="17" fontId="8" fillId="3" borderId="0" xfId="0" applyNumberFormat="1" applyFont="1" applyFill="1" applyBorder="1" applyAlignment="1">
      <alignment horizontal="center"/>
    </xf>
    <xf numFmtId="0" fontId="6" fillId="3" borderId="0" xfId="0" applyFont="1" applyFill="1" applyBorder="1" applyAlignment="1">
      <alignment horizontal="center"/>
    </xf>
    <xf numFmtId="170" fontId="8" fillId="3" borderId="0" xfId="0" applyNumberFormat="1" applyFont="1" applyFill="1" applyBorder="1"/>
    <xf numFmtId="170" fontId="29" fillId="3" borderId="0" xfId="0" applyNumberFormat="1" applyFont="1" applyFill="1" applyBorder="1"/>
    <xf numFmtId="173" fontId="29" fillId="3" borderId="0" xfId="0" applyNumberFormat="1" applyFont="1" applyFill="1" applyBorder="1"/>
    <xf numFmtId="171" fontId="19" fillId="4" borderId="0" xfId="16" applyNumberFormat="1" applyFont="1" applyFill="1" applyBorder="1" applyAlignment="1">
      <alignment horizontal="right" indent="1"/>
      <protection/>
    </xf>
    <xf numFmtId="170" fontId="8" fillId="3" borderId="0" xfId="16" applyNumberFormat="1" applyFont="1" applyFill="1" applyBorder="1">
      <alignment/>
      <protection/>
    </xf>
    <xf numFmtId="170" fontId="6" fillId="3" borderId="0" xfId="16" applyNumberFormat="1" applyFont="1" applyFill="1" applyBorder="1">
      <alignment/>
      <protection/>
    </xf>
    <xf numFmtId="168" fontId="20" fillId="3" borderId="0" xfId="0" applyNumberFormat="1" applyFont="1" applyFill="1" applyBorder="1"/>
    <xf numFmtId="181" fontId="20" fillId="3" borderId="0" xfId="0" applyNumberFormat="1" applyFont="1" applyFill="1" applyBorder="1"/>
    <xf numFmtId="176" fontId="20" fillId="3" borderId="0" xfId="16" applyNumberFormat="1" applyFont="1" applyFill="1" applyBorder="1">
      <alignment/>
      <protection/>
    </xf>
    <xf numFmtId="173" fontId="20" fillId="3" borderId="0" xfId="0" applyNumberFormat="1" applyFont="1" applyFill="1" applyBorder="1"/>
    <xf numFmtId="168" fontId="31" fillId="3" borderId="0" xfId="30" applyNumberFormat="1" applyFont="1" applyFill="1" applyBorder="1" applyAlignment="1">
      <alignment horizontal="center"/>
      <protection/>
    </xf>
    <xf numFmtId="170" fontId="26" fillId="3" borderId="0" xfId="30" applyNumberFormat="1" applyFont="1" applyFill="1" applyBorder="1">
      <alignment/>
      <protection/>
    </xf>
    <xf numFmtId="170" fontId="25" fillId="3" borderId="0" xfId="30" applyNumberFormat="1" applyFont="1" applyFill="1" applyBorder="1">
      <alignment/>
      <protection/>
    </xf>
    <xf numFmtId="171" fontId="25" fillId="3" borderId="0" xfId="30" applyNumberFormat="1" applyFont="1" applyFill="1" applyBorder="1">
      <alignment/>
      <protection/>
    </xf>
    <xf numFmtId="171" fontId="26" fillId="3" borderId="0" xfId="30" applyNumberFormat="1" applyFont="1" applyFill="1" applyBorder="1">
      <alignment/>
      <protection/>
    </xf>
    <xf numFmtId="173" fontId="26" fillId="3" borderId="0" xfId="30" applyNumberFormat="1" applyFont="1" applyFill="1" applyBorder="1">
      <alignment/>
      <protection/>
    </xf>
    <xf numFmtId="171" fontId="26" fillId="3" borderId="0" xfId="30" applyNumberFormat="1" applyFont="1" applyFill="1" applyBorder="1" applyAlignment="1">
      <alignment horizontal="center"/>
      <protection/>
    </xf>
    <xf numFmtId="171" fontId="25" fillId="3" borderId="0" xfId="30" applyNumberFormat="1" applyFont="1" applyFill="1" applyBorder="1" applyAlignment="1">
      <alignment horizontal="center"/>
      <protection/>
    </xf>
    <xf numFmtId="181" fontId="26" fillId="3" borderId="0" xfId="30" applyNumberFormat="1" applyFont="1" applyFill="1" applyBorder="1" applyAlignment="1">
      <alignment horizontal="right"/>
      <protection/>
    </xf>
    <xf numFmtId="170" fontId="25" fillId="3" borderId="0" xfId="30" applyNumberFormat="1" applyFont="1" applyFill="1" applyBorder="1" applyAlignment="1">
      <alignment horizontal="right"/>
      <protection/>
    </xf>
    <xf numFmtId="171" fontId="25" fillId="3" borderId="0" xfId="30" applyNumberFormat="1" applyFont="1" applyFill="1" applyBorder="1" applyAlignment="1">
      <alignment horizontal="right"/>
      <protection/>
    </xf>
    <xf numFmtId="174" fontId="25" fillId="3" borderId="0" xfId="30" applyNumberFormat="1" applyFont="1" applyFill="1" applyBorder="1" applyAlignment="1">
      <alignment horizontal="right"/>
      <protection/>
    </xf>
    <xf numFmtId="174" fontId="25" fillId="3" borderId="0" xfId="30" applyNumberFormat="1" applyFont="1" applyFill="1" applyBorder="1">
      <alignment/>
      <protection/>
    </xf>
    <xf numFmtId="166" fontId="26" fillId="4" borderId="0" xfId="30" applyNumberFormat="1" applyFont="1" applyFill="1" applyBorder="1" applyAlignment="1">
      <alignment horizontal="center"/>
      <protection/>
    </xf>
    <xf numFmtId="166" fontId="26" fillId="3" borderId="0" xfId="30" applyNumberFormat="1" applyFont="1" applyFill="1" applyBorder="1" applyAlignment="1">
      <alignment horizontal="center"/>
      <protection/>
    </xf>
    <xf numFmtId="166" fontId="26" fillId="3" borderId="0" xfId="30" applyNumberFormat="1" applyFont="1" applyFill="1" applyAlignment="1">
      <alignment horizontal="center"/>
      <protection/>
    </xf>
    <xf numFmtId="166" fontId="26" fillId="4" borderId="0" xfId="30" applyNumberFormat="1" applyFont="1" applyFill="1">
      <alignment/>
      <protection/>
    </xf>
    <xf numFmtId="166" fontId="26" fillId="4" borderId="0" xfId="30" applyNumberFormat="1" applyFont="1" applyFill="1" applyBorder="1" applyAlignment="1">
      <alignment horizontal="right"/>
      <protection/>
    </xf>
    <xf numFmtId="166" fontId="26" fillId="3" borderId="0" xfId="30" applyNumberFormat="1" applyFont="1" applyFill="1" applyBorder="1" applyAlignment="1">
      <alignment horizontal="right"/>
      <protection/>
    </xf>
    <xf numFmtId="166" fontId="26" fillId="3" borderId="0" xfId="30" applyNumberFormat="1" applyFont="1" applyFill="1" applyAlignment="1">
      <alignment horizontal="right"/>
      <protection/>
    </xf>
    <xf numFmtId="166" fontId="26" fillId="4" borderId="0" xfId="30" applyNumberFormat="1" applyFont="1" applyFill="1" applyAlignment="1">
      <alignment horizontal="right"/>
      <protection/>
    </xf>
    <xf numFmtId="170" fontId="0" fillId="3" borderId="9" xfId="0" applyNumberFormat="1" applyFont="1" applyFill="1" applyBorder="1" applyAlignment="1">
      <alignment horizontal="left" indent="2"/>
    </xf>
    <xf numFmtId="170" fontId="0" fillId="3" borderId="9" xfId="0" applyNumberFormat="1" applyFont="1" applyFill="1" applyBorder="1"/>
    <xf numFmtId="170" fontId="0" fillId="3" borderId="9" xfId="0" applyNumberFormat="1" applyFont="1" applyFill="1" applyBorder="1" applyAlignment="1">
      <alignment horizontal="left" indent="1"/>
    </xf>
    <xf numFmtId="170" fontId="0" fillId="3" borderId="9" xfId="0" applyNumberFormat="1" applyFont="1" applyFill="1" applyBorder="1" applyAlignment="1">
      <alignment horizontal="right"/>
    </xf>
    <xf numFmtId="170" fontId="0" fillId="3" borderId="7" xfId="0" applyNumberFormat="1" applyFont="1" applyFill="1" applyBorder="1" applyAlignment="1">
      <alignment horizontal="left" indent="2"/>
    </xf>
    <xf numFmtId="170" fontId="0" fillId="3" borderId="7" xfId="0" applyNumberFormat="1" applyFont="1" applyFill="1" applyBorder="1" applyAlignment="1">
      <alignment horizontal="left" indent="1"/>
    </xf>
    <xf numFmtId="171" fontId="7" fillId="3" borderId="7" xfId="0" applyNumberFormat="1" applyFont="1" applyFill="1" applyBorder="1" applyAlignment="1">
      <alignment horizontal="left" indent="1"/>
    </xf>
    <xf numFmtId="170" fontId="28" fillId="3" borderId="2" xfId="0" applyNumberFormat="1" applyFont="1" applyFill="1" applyBorder="1" applyAlignment="1">
      <alignment horizontal="left" indent="1"/>
    </xf>
    <xf numFmtId="170" fontId="25" fillId="3" borderId="2" xfId="0" applyNumberFormat="1" applyFont="1" applyFill="1" applyBorder="1"/>
    <xf numFmtId="168" fontId="7" fillId="3" borderId="13" xfId="0" applyNumberFormat="1" applyFont="1" applyFill="1" applyBorder="1"/>
    <xf numFmtId="168" fontId="0" fillId="3" borderId="13" xfId="0" applyNumberFormat="1" applyFont="1" applyFill="1" applyBorder="1"/>
    <xf numFmtId="168" fontId="0" fillId="3" borderId="13" xfId="0" applyNumberFormat="1" applyFill="1" applyBorder="1"/>
    <xf numFmtId="168" fontId="20" fillId="3" borderId="18" xfId="26" applyNumberFormat="1" applyFont="1" applyFill="1" applyBorder="1" applyAlignment="1">
      <alignment horizontal="left" indent="1"/>
      <protection/>
    </xf>
    <xf numFmtId="168" fontId="25" fillId="3" borderId="18" xfId="0" applyNumberFormat="1" applyFont="1" applyFill="1" applyBorder="1"/>
    <xf numFmtId="168" fontId="20" fillId="3" borderId="18" xfId="26" applyNumberFormat="1" applyFont="1" applyFill="1" applyBorder="1">
      <alignment/>
      <protection/>
    </xf>
    <xf numFmtId="168" fontId="25" fillId="3" borderId="19" xfId="0" applyNumberFormat="1" applyFont="1" applyFill="1" applyBorder="1"/>
    <xf numFmtId="187" fontId="0" fillId="3" borderId="13" xfId="0" applyNumberFormat="1" applyFont="1" applyFill="1" applyBorder="1"/>
    <xf numFmtId="188" fontId="0" fillId="3" borderId="13" xfId="0" applyNumberFormat="1" applyFont="1" applyFill="1" applyBorder="1"/>
    <xf numFmtId="170" fontId="0" fillId="4" borderId="9" xfId="0" applyNumberFormat="1" applyFont="1" applyFill="1" applyBorder="1"/>
    <xf numFmtId="170" fontId="0" fillId="4" borderId="9" xfId="0" applyNumberFormat="1" applyFont="1" applyFill="1" applyBorder="1" applyAlignment="1">
      <alignment horizontal="right"/>
    </xf>
    <xf numFmtId="170" fontId="25" fillId="4" borderId="2" xfId="0" applyNumberFormat="1" applyFont="1" applyFill="1" applyBorder="1"/>
    <xf numFmtId="170" fontId="22" fillId="5" borderId="2" xfId="0" applyNumberFormat="1" applyFont="1" applyFill="1" applyBorder="1"/>
    <xf numFmtId="171" fontId="22" fillId="5" borderId="17" xfId="0" applyNumberFormat="1" applyFont="1" applyFill="1" applyBorder="1"/>
    <xf numFmtId="170" fontId="20" fillId="2" borderId="17" xfId="23" applyNumberFormat="1" applyFont="1" applyFill="1" applyBorder="1" applyAlignment="1">
      <alignment horizontal="right"/>
      <protection/>
    </xf>
    <xf numFmtId="170" fontId="22" fillId="5" borderId="20" xfId="0" applyNumberFormat="1" applyFont="1" applyFill="1" applyBorder="1"/>
    <xf numFmtId="170" fontId="22" fillId="5" borderId="17" xfId="0" applyNumberFormat="1" applyFont="1" applyFill="1" applyBorder="1"/>
    <xf numFmtId="168" fontId="25" fillId="3" borderId="2" xfId="0" applyNumberFormat="1" applyFont="1" applyFill="1" applyBorder="1"/>
    <xf numFmtId="168" fontId="20" fillId="3" borderId="2" xfId="26" applyNumberFormat="1" applyFont="1" applyFill="1" applyBorder="1">
      <alignment/>
      <protection/>
    </xf>
    <xf numFmtId="168" fontId="25" fillId="3" borderId="4" xfId="0" applyNumberFormat="1" applyFont="1" applyFill="1" applyBorder="1"/>
    <xf numFmtId="168" fontId="25" fillId="3" borderId="1" xfId="0" applyNumberFormat="1" applyFont="1" applyFill="1" applyBorder="1"/>
    <xf numFmtId="168" fontId="20" fillId="3" borderId="5" xfId="26" applyNumberFormat="1" applyFont="1" applyFill="1" applyBorder="1" applyAlignment="1">
      <alignment horizontal="left" indent="1"/>
      <protection/>
    </xf>
    <xf numFmtId="168" fontId="20" fillId="3" borderId="3" xfId="26" applyNumberFormat="1" applyFont="1" applyFill="1" applyBorder="1" applyAlignment="1">
      <alignment horizontal="left" indent="1"/>
      <protection/>
    </xf>
    <xf numFmtId="168" fontId="31" fillId="3" borderId="21" xfId="26" applyNumberFormat="1" applyFont="1" applyFill="1" applyBorder="1">
      <alignment/>
      <protection/>
    </xf>
    <xf numFmtId="177" fontId="20" fillId="3" borderId="22" xfId="26" applyNumberFormat="1" applyFont="1" applyFill="1" applyBorder="1" applyAlignment="1">
      <alignment horizontal="left" indent="1"/>
      <protection/>
    </xf>
    <xf numFmtId="178" fontId="20" fillId="3" borderId="22" xfId="26" applyNumberFormat="1" applyFont="1" applyFill="1" applyBorder="1" applyAlignment="1">
      <alignment horizontal="left" indent="1"/>
      <protection/>
    </xf>
    <xf numFmtId="179" fontId="20" fillId="3" borderId="22" xfId="26" applyNumberFormat="1" applyFont="1" applyFill="1" applyBorder="1" applyAlignment="1">
      <alignment horizontal="left" indent="1"/>
      <protection/>
    </xf>
    <xf numFmtId="0" fontId="26" fillId="3" borderId="6" xfId="0" applyFont="1" applyFill="1" applyBorder="1"/>
    <xf numFmtId="170" fontId="20" fillId="3" borderId="4" xfId="26" applyNumberFormat="1" applyFont="1" applyFill="1" applyBorder="1">
      <alignment/>
      <protection/>
    </xf>
    <xf numFmtId="170" fontId="20" fillId="3" borderId="1" xfId="26" applyNumberFormat="1" applyFont="1" applyFill="1" applyBorder="1">
      <alignment/>
      <protection/>
    </xf>
    <xf numFmtId="168" fontId="31" fillId="3" borderId="8" xfId="26" applyNumberFormat="1" applyFont="1" applyFill="1" applyBorder="1">
      <alignment/>
      <protection/>
    </xf>
    <xf numFmtId="171" fontId="26" fillId="3" borderId="7" xfId="30" applyNumberFormat="1" applyFont="1" applyFill="1" applyBorder="1" applyAlignment="1">
      <alignment horizontal="left"/>
      <protection/>
    </xf>
    <xf numFmtId="171" fontId="26" fillId="3" borderId="7" xfId="30" applyNumberFormat="1" applyFont="1" applyFill="1" applyBorder="1" applyAlignment="1">
      <alignment horizontal="left" indent="3"/>
      <protection/>
    </xf>
    <xf numFmtId="171" fontId="26" fillId="4" borderId="7" xfId="30" applyNumberFormat="1" applyFont="1" applyFill="1" applyBorder="1">
      <alignment/>
      <protection/>
    </xf>
    <xf numFmtId="171" fontId="26" fillId="3" borderId="7" xfId="30" applyNumberFormat="1" applyFont="1" applyFill="1" applyBorder="1">
      <alignment/>
      <protection/>
    </xf>
    <xf numFmtId="170" fontId="31" fillId="3" borderId="7" xfId="21" applyNumberFormat="1" applyFont="1" applyFill="1" applyBorder="1">
      <alignment/>
      <protection/>
    </xf>
    <xf numFmtId="170" fontId="26" fillId="4" borderId="7" xfId="30" applyNumberFormat="1" applyFont="1" applyFill="1" applyBorder="1" applyAlignment="1">
      <alignment horizontal="right"/>
      <protection/>
    </xf>
    <xf numFmtId="170" fontId="26" fillId="3" borderId="7" xfId="30" applyNumberFormat="1" applyFont="1" applyFill="1" applyBorder="1" applyAlignment="1">
      <alignment horizontal="right"/>
      <protection/>
    </xf>
    <xf numFmtId="168" fontId="32" fillId="5" borderId="17" xfId="30" applyNumberFormat="1" applyFont="1" applyFill="1" applyBorder="1">
      <alignment/>
      <protection/>
    </xf>
    <xf numFmtId="171" fontId="33" fillId="5" borderId="17" xfId="30" applyNumberFormat="1" applyFont="1" applyFill="1" applyBorder="1">
      <alignment/>
      <protection/>
    </xf>
    <xf numFmtId="170" fontId="33" fillId="5" borderId="17" xfId="30" applyNumberFormat="1" applyFont="1" applyFill="1" applyBorder="1">
      <alignment/>
      <protection/>
    </xf>
    <xf numFmtId="168" fontId="25" fillId="3" borderId="20" xfId="0" applyNumberFormat="1" applyFont="1" applyFill="1" applyBorder="1"/>
    <xf numFmtId="168" fontId="3" fillId="3" borderId="6" xfId="26" applyNumberFormat="1" applyFont="1" applyFill="1" applyBorder="1" applyAlignment="1">
      <alignment horizontal="left"/>
      <protection/>
    </xf>
    <xf numFmtId="168" fontId="2" fillId="3" borderId="4" xfId="26" applyNumberFormat="1" applyFont="1" applyFill="1" applyBorder="1" applyAlignment="1">
      <alignment horizontal="left" indent="1"/>
      <protection/>
    </xf>
    <xf numFmtId="168" fontId="7" fillId="0" borderId="0" xfId="0" applyNumberFormat="1" applyFont="1" applyFill="1" applyBorder="1"/>
    <xf numFmtId="173" fontId="31" fillId="3" borderId="0" xfId="16" applyNumberFormat="1" applyFont="1" applyFill="1">
      <alignment/>
      <protection/>
    </xf>
    <xf numFmtId="171" fontId="26" fillId="3" borderId="0" xfId="0" applyNumberFormat="1" applyFont="1" applyFill="1"/>
    <xf numFmtId="173" fontId="26" fillId="3" borderId="0" xfId="0" applyNumberFormat="1" applyFont="1" applyFill="1" applyAlignment="1">
      <alignment horizontal="left" indent="3"/>
    </xf>
    <xf numFmtId="173" fontId="26" fillId="4" borderId="0" xfId="0" applyNumberFormat="1" applyFont="1" applyFill="1" applyBorder="1"/>
    <xf numFmtId="173" fontId="26" fillId="3" borderId="0" xfId="0" applyNumberFormat="1" applyFont="1" applyFill="1" applyBorder="1"/>
    <xf numFmtId="173" fontId="13" fillId="3" borderId="0" xfId="0" applyNumberFormat="1" applyFont="1" applyFill="1"/>
    <xf numFmtId="173" fontId="13" fillId="4" borderId="0" xfId="0" applyNumberFormat="1" applyFont="1" applyFill="1"/>
    <xf numFmtId="173" fontId="26" fillId="4" borderId="0" xfId="0" applyNumberFormat="1" applyFont="1" applyFill="1"/>
    <xf numFmtId="170" fontId="25" fillId="3" borderId="0" xfId="0" applyNumberFormat="1" applyFont="1" applyFill="1" applyAlignment="1">
      <alignment horizontal="left" indent="3"/>
    </xf>
    <xf numFmtId="170" fontId="25" fillId="4" borderId="0" xfId="0" applyNumberFormat="1" applyFont="1" applyFill="1" applyBorder="1"/>
    <xf numFmtId="170" fontId="25" fillId="3" borderId="0" xfId="0" applyNumberFormat="1" applyFont="1" applyFill="1" applyBorder="1"/>
    <xf numFmtId="170" fontId="25" fillId="3" borderId="0" xfId="0" applyNumberFormat="1" applyFont="1" applyFill="1" applyAlignment="1">
      <alignment horizontal="left" indent="1"/>
    </xf>
    <xf numFmtId="170" fontId="25" fillId="3" borderId="0" xfId="0" applyNumberFormat="1" applyFont="1" applyFill="1" applyAlignment="1">
      <alignment horizontal="left"/>
    </xf>
    <xf numFmtId="171" fontId="26" fillId="3" borderId="0" xfId="0" applyNumberFormat="1" applyFont="1" applyFill="1" applyAlignment="1">
      <alignment horizontal="left" indent="3"/>
    </xf>
    <xf numFmtId="171" fontId="26" fillId="4" borderId="0" xfId="0" applyNumberFormat="1" applyFont="1" applyFill="1" applyBorder="1"/>
    <xf numFmtId="171" fontId="26" fillId="3" borderId="0" xfId="0" applyNumberFormat="1" applyFont="1" applyFill="1" applyBorder="1"/>
    <xf numFmtId="171" fontId="26" fillId="4" borderId="0" xfId="0" applyNumberFormat="1" applyFont="1" applyFill="1"/>
    <xf numFmtId="170" fontId="26" fillId="3" borderId="0" xfId="0" applyNumberFormat="1" applyFont="1" applyFill="1" applyBorder="1"/>
    <xf numFmtId="170" fontId="26" fillId="4" borderId="0" xfId="0" applyNumberFormat="1" applyFont="1" applyFill="1" applyBorder="1"/>
    <xf numFmtId="170" fontId="27" fillId="3" borderId="0" xfId="0" applyNumberFormat="1" applyFont="1" applyFill="1" applyBorder="1" applyAlignment="1">
      <alignment horizontal="left"/>
    </xf>
    <xf numFmtId="166" fontId="25" fillId="6" borderId="0" xfId="30" applyNumberFormat="1" applyFont="1" applyFill="1">
      <alignment/>
      <protection/>
    </xf>
    <xf numFmtId="166" fontId="26" fillId="6" borderId="0" xfId="30" applyNumberFormat="1" applyFont="1" applyFill="1" applyAlignment="1">
      <alignment horizontal="center"/>
      <protection/>
    </xf>
    <xf numFmtId="170" fontId="0" fillId="3" borderId="0" xfId="0" applyNumberFormat="1" applyFont="1" applyFill="1" applyBorder="1" applyAlignment="1">
      <alignment horizontal="left" indent="2"/>
    </xf>
    <xf numFmtId="0" fontId="4" fillId="3" borderId="23" xfId="24" applyFill="1" applyBorder="1">
      <alignment/>
      <protection/>
    </xf>
    <xf numFmtId="170" fontId="22" fillId="5" borderId="0" xfId="30" applyNumberFormat="1" applyFont="1" applyFill="1">
      <alignment/>
      <protection/>
    </xf>
    <xf numFmtId="170" fontId="22" fillId="5" borderId="0" xfId="0" applyNumberFormat="1" applyFont="1" applyFill="1"/>
    <xf numFmtId="188" fontId="25" fillId="3" borderId="0" xfId="0" applyNumberFormat="1" applyFont="1" applyFill="1"/>
    <xf numFmtId="187" fontId="20" fillId="3" borderId="0" xfId="26" applyNumberFormat="1" applyFont="1" applyFill="1" applyBorder="1">
      <alignment/>
      <protection/>
    </xf>
    <xf numFmtId="168" fontId="20" fillId="3" borderId="0" xfId="26" applyNumberFormat="1" applyFont="1" applyFill="1" applyBorder="1">
      <alignment/>
      <protection/>
    </xf>
    <xf numFmtId="0" fontId="4" fillId="3" borderId="24" xfId="24" applyFill="1" applyBorder="1">
      <alignment/>
      <protection/>
    </xf>
    <xf numFmtId="166" fontId="13" fillId="3" borderId="0" xfId="0" applyNumberFormat="1" applyFont="1" applyFill="1" applyAlignment="1">
      <alignment horizontal="left"/>
    </xf>
    <xf numFmtId="166" fontId="7" fillId="3" borderId="0" xfId="0" applyNumberFormat="1" applyFont="1" applyFill="1"/>
    <xf numFmtId="166" fontId="26" fillId="3" borderId="0" xfId="30" applyNumberFormat="1" applyFont="1" applyFill="1" applyAlignment="1">
      <alignment horizontal="left" indent="1"/>
      <protection/>
    </xf>
    <xf numFmtId="166" fontId="13" fillId="3" borderId="0" xfId="30" applyNumberFormat="1" applyFont="1" applyFill="1" applyAlignment="1">
      <alignment horizontal="left"/>
      <protection/>
    </xf>
    <xf numFmtId="181" fontId="0" fillId="3" borderId="0" xfId="0" applyNumberFormat="1" applyFont="1" applyFill="1" applyAlignment="1">
      <alignment horizontal="left" indent="1"/>
    </xf>
    <xf numFmtId="181" fontId="0" fillId="4" borderId="0" xfId="0" applyNumberFormat="1" applyFont="1" applyFill="1" applyBorder="1"/>
    <xf numFmtId="181" fontId="0" fillId="3" borderId="0" xfId="0" applyNumberFormat="1" applyFont="1" applyFill="1" applyBorder="1"/>
    <xf numFmtId="181" fontId="9" fillId="3" borderId="0" xfId="0" applyNumberFormat="1" applyFont="1" applyFill="1"/>
    <xf numFmtId="181" fontId="9" fillId="4" borderId="0" xfId="0" applyNumberFormat="1" applyFont="1" applyFill="1"/>
    <xf numFmtId="181" fontId="0" fillId="3" borderId="0" xfId="0" applyNumberFormat="1" applyFont="1" applyFill="1"/>
    <xf numFmtId="181" fontId="7" fillId="3" borderId="7" xfId="0" applyNumberFormat="1" applyFont="1" applyFill="1" applyBorder="1" applyAlignment="1">
      <alignment horizontal="left"/>
    </xf>
    <xf numFmtId="181" fontId="7" fillId="4" borderId="7" xfId="0" applyNumberFormat="1" applyFont="1" applyFill="1" applyBorder="1"/>
    <xf numFmtId="181" fontId="7" fillId="3" borderId="7" xfId="0" applyNumberFormat="1" applyFont="1" applyFill="1" applyBorder="1"/>
    <xf numFmtId="166" fontId="7" fillId="3" borderId="0" xfId="0" applyNumberFormat="1" applyFont="1" applyFill="1" applyBorder="1" applyAlignment="1">
      <alignment horizontal="right"/>
    </xf>
    <xf numFmtId="166" fontId="7" fillId="4" borderId="0" xfId="0" applyNumberFormat="1" applyFont="1" applyFill="1" applyBorder="1" applyAlignment="1">
      <alignment horizontal="right"/>
    </xf>
    <xf numFmtId="190" fontId="20" fillId="3" borderId="25" xfId="26" applyNumberFormat="1" applyFont="1" applyFill="1" applyBorder="1" applyAlignment="1">
      <alignment horizontal="left" indent="1"/>
      <protection/>
    </xf>
    <xf numFmtId="168" fontId="7" fillId="3" borderId="0" xfId="0" applyNumberFormat="1" applyFont="1" applyFill="1" applyBorder="1"/>
    <xf numFmtId="168" fontId="7" fillId="3" borderId="0" xfId="0" applyNumberFormat="1" applyFont="1" applyFill="1"/>
    <xf numFmtId="171" fontId="26" fillId="6" borderId="0" xfId="30" applyNumberFormat="1" applyFont="1" applyFill="1" applyAlignment="1">
      <alignment horizontal="center"/>
      <protection/>
    </xf>
    <xf numFmtId="180" fontId="2" fillId="3" borderId="0" xfId="0" applyNumberFormat="1" applyFont="1" applyFill="1" applyAlignment="1">
      <alignment horizontal="left"/>
    </xf>
    <xf numFmtId="185" fontId="3" fillId="3" borderId="0" xfId="0" applyNumberFormat="1" applyFont="1" applyFill="1" applyAlignment="1">
      <alignment horizontal="left"/>
    </xf>
    <xf numFmtId="166" fontId="6" fillId="3" borderId="0" xfId="16" applyNumberFormat="1" applyFont="1" applyFill="1" applyAlignment="1">
      <alignment horizontal="center"/>
      <protection/>
    </xf>
    <xf numFmtId="168" fontId="7" fillId="3" borderId="0" xfId="0" applyNumberFormat="1" applyFont="1" applyFill="1" applyAlignment="1">
      <alignment horizontal="center"/>
    </xf>
    <xf numFmtId="186" fontId="3" fillId="3" borderId="0" xfId="0" applyNumberFormat="1" applyFont="1" applyFill="1"/>
    <xf numFmtId="0" fontId="7" fillId="3" borderId="0" xfId="0" applyFont="1" applyFill="1" applyAlignment="1">
      <alignment horizontal="center"/>
    </xf>
    <xf numFmtId="170" fontId="25" fillId="3" borderId="17" xfId="0" applyNumberFormat="1" applyFont="1" applyFill="1" applyBorder="1"/>
    <xf numFmtId="172" fontId="20" fillId="3" borderId="0" xfId="0" applyNumberFormat="1" applyFont="1" applyFill="1" applyAlignment="1">
      <alignment horizontal="center"/>
    </xf>
    <xf numFmtId="0" fontId="25" fillId="3" borderId="0" xfId="0" applyFont="1" applyFill="1" applyBorder="1"/>
    <xf numFmtId="0" fontId="25" fillId="3" borderId="17" xfId="0" applyFont="1" applyFill="1" applyBorder="1"/>
    <xf numFmtId="0" fontId="25" fillId="3" borderId="0" xfId="0" applyFont="1" applyFill="1"/>
    <xf numFmtId="0" fontId="31" fillId="3" borderId="0" xfId="16" applyNumberFormat="1" applyFont="1" applyFill="1" applyAlignment="1">
      <alignment horizontal="center"/>
      <protection/>
    </xf>
    <xf numFmtId="171" fontId="20" fillId="3" borderId="0" xfId="16" applyNumberFormat="1" applyFont="1" applyFill="1">
      <alignment/>
      <protection/>
    </xf>
    <xf numFmtId="171" fontId="25" fillId="3" borderId="0" xfId="0" applyNumberFormat="1" applyFont="1" applyFill="1" applyBorder="1" applyAlignment="1">
      <alignment horizontal="right"/>
    </xf>
    <xf numFmtId="171" fontId="20" fillId="3" borderId="2" xfId="16" applyNumberFormat="1" applyFont="1" applyFill="1" applyBorder="1">
      <alignment/>
      <protection/>
    </xf>
    <xf numFmtId="171" fontId="25" fillId="3" borderId="2" xfId="0" applyNumberFormat="1" applyFont="1" applyFill="1" applyBorder="1" applyAlignment="1">
      <alignment horizontal="right"/>
    </xf>
    <xf numFmtId="171" fontId="31" fillId="3" borderId="7" xfId="16" applyNumberFormat="1" applyFont="1" applyFill="1" applyBorder="1">
      <alignment/>
      <protection/>
    </xf>
    <xf numFmtId="171" fontId="26" fillId="3" borderId="7" xfId="0" applyNumberFormat="1" applyFont="1" applyFill="1" applyBorder="1" applyAlignment="1">
      <alignment horizontal="right"/>
    </xf>
    <xf numFmtId="171" fontId="31" fillId="3" borderId="0" xfId="16" applyNumberFormat="1" applyFont="1" applyFill="1">
      <alignment/>
      <protection/>
    </xf>
    <xf numFmtId="171" fontId="26" fillId="3" borderId="0" xfId="0" applyNumberFormat="1" applyFont="1" applyFill="1" applyBorder="1" applyAlignment="1">
      <alignment horizontal="right"/>
    </xf>
    <xf numFmtId="171" fontId="25" fillId="3" borderId="0" xfId="0" applyNumberFormat="1" applyFont="1" applyFill="1" applyAlignment="1">
      <alignment horizontal="left" indent="1"/>
    </xf>
    <xf numFmtId="171" fontId="25" fillId="3" borderId="0" xfId="0" applyNumberFormat="1" applyFont="1" applyFill="1" applyAlignment="1">
      <alignment horizontal="right"/>
    </xf>
    <xf numFmtId="170" fontId="25" fillId="3" borderId="0" xfId="0" applyNumberFormat="1" applyFont="1" applyFill="1" applyAlignment="1">
      <alignment horizontal="left" indent="4"/>
    </xf>
    <xf numFmtId="170" fontId="25" fillId="3" borderId="2" xfId="0" applyNumberFormat="1" applyFont="1" applyFill="1" applyBorder="1" applyAlignment="1">
      <alignment horizontal="left" indent="4"/>
    </xf>
    <xf numFmtId="170" fontId="25" fillId="3" borderId="9" xfId="0" applyNumberFormat="1" applyFont="1" applyFill="1" applyBorder="1" applyAlignment="1">
      <alignment horizontal="left" indent="4"/>
    </xf>
    <xf numFmtId="170" fontId="26" fillId="3" borderId="7" xfId="0" applyNumberFormat="1" applyFont="1" applyFill="1" applyBorder="1" applyAlignment="1">
      <alignment horizontal="left" indent="4"/>
    </xf>
    <xf numFmtId="170" fontId="31" fillId="3" borderId="7" xfId="16" applyNumberFormat="1" applyFont="1" applyFill="1" applyBorder="1">
      <alignment/>
      <protection/>
    </xf>
    <xf numFmtId="170" fontId="26" fillId="3" borderId="0" xfId="0" applyNumberFormat="1" applyFont="1" applyFill="1" applyAlignment="1">
      <alignment horizontal="left"/>
    </xf>
    <xf numFmtId="170" fontId="26" fillId="3" borderId="0" xfId="0" applyNumberFormat="1" applyFont="1" applyFill="1" applyAlignment="1">
      <alignment horizontal="left" indent="4"/>
    </xf>
    <xf numFmtId="170" fontId="26" fillId="3" borderId="17" xfId="0" applyNumberFormat="1" applyFont="1" applyFill="1" applyBorder="1"/>
    <xf numFmtId="170" fontId="20" fillId="3" borderId="9" xfId="16" applyNumberFormat="1" applyFont="1" applyFill="1" applyBorder="1">
      <alignment/>
      <protection/>
    </xf>
    <xf numFmtId="170" fontId="25" fillId="3" borderId="0" xfId="0" applyNumberFormat="1" applyFont="1" applyFill="1" applyAlignment="1">
      <alignment horizontal="left" indent="2"/>
    </xf>
    <xf numFmtId="170" fontId="25" fillId="3" borderId="7" xfId="0" applyNumberFormat="1" applyFont="1" applyFill="1" applyBorder="1" applyAlignment="1">
      <alignment horizontal="left" indent="4"/>
    </xf>
    <xf numFmtId="168" fontId="25" fillId="3" borderId="0" xfId="0" applyNumberFormat="1" applyFont="1" applyFill="1" applyAlignment="1">
      <alignment horizontal="left"/>
    </xf>
    <xf numFmtId="168" fontId="25" fillId="3" borderId="0" xfId="0" applyNumberFormat="1" applyFont="1" applyFill="1" applyAlignment="1">
      <alignment horizontal="left" indent="4"/>
    </xf>
    <xf numFmtId="171" fontId="25" fillId="3" borderId="0" xfId="0" applyNumberFormat="1" applyFont="1" applyFill="1" applyAlignment="1">
      <alignment horizontal="left" indent="3"/>
    </xf>
    <xf numFmtId="171" fontId="25" fillId="3" borderId="0" xfId="0" applyNumberFormat="1" applyFont="1" applyFill="1" applyBorder="1"/>
    <xf numFmtId="171" fontId="25" fillId="3" borderId="2" xfId="0" applyNumberFormat="1" applyFont="1" applyFill="1" applyBorder="1" applyAlignment="1">
      <alignment horizontal="left" indent="3"/>
    </xf>
    <xf numFmtId="171" fontId="26" fillId="3" borderId="7" xfId="0" applyNumberFormat="1" applyFont="1" applyFill="1" applyBorder="1" applyAlignment="1">
      <alignment horizontal="left" indent="3"/>
    </xf>
    <xf numFmtId="171" fontId="26" fillId="3" borderId="0" xfId="0" applyNumberFormat="1" applyFont="1" applyFill="1" applyAlignment="1">
      <alignment horizontal="left"/>
    </xf>
    <xf numFmtId="171" fontId="26" fillId="3" borderId="0" xfId="0" applyNumberFormat="1" applyFont="1" applyFill="1" applyAlignment="1">
      <alignment horizontal="left" indent="2"/>
    </xf>
    <xf numFmtId="168" fontId="25" fillId="3" borderId="0" xfId="0" applyNumberFormat="1" applyFont="1" applyFill="1" applyAlignment="1">
      <alignment horizontal="left" indent="1"/>
    </xf>
    <xf numFmtId="168" fontId="25" fillId="3" borderId="0" xfId="0" applyNumberFormat="1" applyFont="1" applyFill="1" applyAlignment="1">
      <alignment horizontal="left" indent="3"/>
    </xf>
    <xf numFmtId="168" fontId="26" fillId="3" borderId="0" xfId="0" applyNumberFormat="1" applyFont="1" applyFill="1" applyAlignment="1">
      <alignment horizontal="left"/>
    </xf>
    <xf numFmtId="168" fontId="26" fillId="3" borderId="0" xfId="0" applyNumberFormat="1" applyFont="1" applyFill="1" applyAlignment="1">
      <alignment horizontal="left" indent="4"/>
    </xf>
    <xf numFmtId="171" fontId="25" fillId="3" borderId="0" xfId="0" applyNumberFormat="1" applyFont="1" applyFill="1" applyAlignment="1">
      <alignment horizontal="left" indent="4"/>
    </xf>
    <xf numFmtId="171" fontId="25" fillId="3" borderId="0" xfId="0" applyNumberFormat="1" applyFont="1" applyFill="1"/>
    <xf numFmtId="181" fontId="25" fillId="3" borderId="0" xfId="0" applyNumberFormat="1" applyFont="1" applyFill="1" applyAlignment="1">
      <alignment horizontal="left" indent="4"/>
    </xf>
    <xf numFmtId="181" fontId="26" fillId="3" borderId="7" xfId="0" applyNumberFormat="1" applyFont="1" applyFill="1" applyBorder="1" applyAlignment="1">
      <alignment horizontal="left" indent="4"/>
    </xf>
    <xf numFmtId="170" fontId="26" fillId="3" borderId="7" xfId="0" applyNumberFormat="1" applyFont="1" applyFill="1" applyBorder="1" applyAlignment="1">
      <alignment horizontal="left" indent="1"/>
    </xf>
    <xf numFmtId="170" fontId="26" fillId="3" borderId="0" xfId="0" applyNumberFormat="1" applyFont="1" applyFill="1" applyAlignment="1">
      <alignment horizontal="left" indent="1"/>
    </xf>
    <xf numFmtId="170" fontId="26" fillId="3" borderId="0" xfId="0" applyNumberFormat="1" applyFont="1" applyFill="1" applyAlignment="1">
      <alignment horizontal="left" indent="3"/>
    </xf>
    <xf numFmtId="170" fontId="25" fillId="3" borderId="0" xfId="0" applyNumberFormat="1" applyFont="1" applyFill="1" applyBorder="1" applyAlignment="1">
      <alignment horizontal="left" indent="3"/>
    </xf>
    <xf numFmtId="170" fontId="25" fillId="3" borderId="2" xfId="0" applyNumberFormat="1" applyFont="1" applyFill="1" applyBorder="1" applyAlignment="1">
      <alignment horizontal="left" indent="3"/>
    </xf>
    <xf numFmtId="170" fontId="25" fillId="3" borderId="9" xfId="0" applyNumberFormat="1" applyFont="1" applyFill="1" applyBorder="1" applyAlignment="1">
      <alignment horizontal="left" indent="3"/>
    </xf>
    <xf numFmtId="170" fontId="25" fillId="3" borderId="9" xfId="0" applyNumberFormat="1" applyFont="1" applyFill="1" applyBorder="1"/>
    <xf numFmtId="168" fontId="26" fillId="3" borderId="0" xfId="0" applyNumberFormat="1" applyFont="1" applyFill="1" applyAlignment="1">
      <alignment horizontal="left" indent="3"/>
    </xf>
    <xf numFmtId="170" fontId="25" fillId="3" borderId="7" xfId="0" applyNumberFormat="1" applyFont="1" applyFill="1" applyBorder="1" applyAlignment="1">
      <alignment horizontal="left" indent="3"/>
    </xf>
    <xf numFmtId="170" fontId="26" fillId="3" borderId="7" xfId="0" applyNumberFormat="1" applyFont="1" applyFill="1" applyBorder="1" applyAlignment="1">
      <alignment horizontal="left" indent="3"/>
    </xf>
    <xf numFmtId="170" fontId="26" fillId="3" borderId="9" xfId="0" applyNumberFormat="1" applyFont="1" applyFill="1" applyBorder="1" applyAlignment="1">
      <alignment horizontal="left" indent="3"/>
    </xf>
    <xf numFmtId="168" fontId="29" fillId="3" borderId="7" xfId="0" applyNumberFormat="1" applyFont="1" applyFill="1" applyBorder="1" applyAlignment="1">
      <alignment horizontal="left" indent="1"/>
    </xf>
    <xf numFmtId="168" fontId="23" fillId="3" borderId="7" xfId="0" applyNumberFormat="1" applyFont="1" applyFill="1" applyBorder="1" applyAlignment="1">
      <alignment horizontal="left" indent="3"/>
    </xf>
    <xf numFmtId="176" fontId="26" fillId="3" borderId="0" xfId="0" applyNumberFormat="1" applyFont="1" applyFill="1" applyAlignment="1">
      <alignment horizontal="left" indent="3"/>
    </xf>
    <xf numFmtId="173" fontId="31" fillId="3" borderId="0" xfId="0" applyNumberFormat="1" applyFont="1" applyFill="1" applyAlignment="1">
      <alignment horizontal="left"/>
    </xf>
    <xf numFmtId="173" fontId="26" fillId="3" borderId="0" xfId="16" applyNumberFormat="1" applyFont="1" applyFill="1" applyBorder="1">
      <alignment/>
      <protection/>
    </xf>
    <xf numFmtId="173" fontId="26" fillId="3" borderId="0" xfId="16" applyNumberFormat="1" applyFont="1" applyFill="1">
      <alignment/>
      <protection/>
    </xf>
    <xf numFmtId="171" fontId="23" fillId="3" borderId="0" xfId="0" applyNumberFormat="1" applyFont="1" applyFill="1" applyAlignment="1">
      <alignment horizontal="left" indent="3"/>
    </xf>
    <xf numFmtId="168" fontId="23" fillId="3" borderId="0" xfId="0" applyNumberFormat="1" applyFont="1" applyFill="1" applyAlignment="1">
      <alignment horizontal="left" indent="3"/>
    </xf>
    <xf numFmtId="171" fontId="29" fillId="3" borderId="0" xfId="16" applyNumberFormat="1" applyFont="1" applyFill="1" applyBorder="1">
      <alignment/>
      <protection/>
    </xf>
    <xf numFmtId="171" fontId="23" fillId="3" borderId="0" xfId="0" applyNumberFormat="1" applyFont="1" applyFill="1" applyAlignment="1">
      <alignment horizontal="left" indent="1"/>
    </xf>
    <xf numFmtId="170" fontId="26" fillId="3" borderId="0" xfId="0" applyNumberFormat="1" applyFont="1" applyFill="1" applyBorder="1" applyAlignment="1">
      <alignment horizontal="left" indent="3"/>
    </xf>
    <xf numFmtId="171" fontId="23" fillId="3" borderId="0" xfId="0" applyNumberFormat="1" applyFont="1" applyFill="1" applyAlignment="1">
      <alignment horizontal="left"/>
    </xf>
    <xf numFmtId="181" fontId="26" fillId="3" borderId="0" xfId="0" applyNumberFormat="1" applyFont="1" applyFill="1" applyAlignment="1">
      <alignment horizontal="left" indent="3"/>
    </xf>
    <xf numFmtId="0" fontId="25" fillId="3" borderId="0" xfId="0" applyFont="1" applyFill="1" applyAlignment="1">
      <alignment horizontal="left" indent="3"/>
    </xf>
    <xf numFmtId="0" fontId="25" fillId="3" borderId="0" xfId="0" applyNumberFormat="1" applyFont="1" applyFill="1" applyBorder="1"/>
    <xf numFmtId="0" fontId="25" fillId="3" borderId="0" xfId="0" applyNumberFormat="1" applyFont="1" applyFill="1"/>
    <xf numFmtId="174" fontId="20" fillId="3" borderId="0" xfId="0" applyNumberFormat="1" applyFont="1" applyFill="1"/>
    <xf numFmtId="174" fontId="25" fillId="3" borderId="0" xfId="0" applyNumberFormat="1" applyFont="1" applyFill="1" applyAlignment="1">
      <alignment horizontal="left" indent="3"/>
    </xf>
    <xf numFmtId="174" fontId="25" fillId="3" borderId="0" xfId="0" applyNumberFormat="1" applyFont="1" applyFill="1" applyBorder="1" applyAlignment="1">
      <alignment horizontal="right"/>
    </xf>
    <xf numFmtId="174" fontId="25" fillId="3" borderId="0" xfId="0" applyNumberFormat="1" applyFont="1" applyFill="1" applyBorder="1"/>
    <xf numFmtId="174" fontId="25" fillId="3" borderId="0" xfId="0" applyNumberFormat="1" applyFont="1" applyFill="1"/>
    <xf numFmtId="187" fontId="20" fillId="3" borderId="0" xfId="16" applyNumberFormat="1" applyFont="1" applyFill="1">
      <alignment/>
      <protection/>
    </xf>
    <xf numFmtId="188" fontId="20" fillId="3" borderId="0" xfId="16" applyNumberFormat="1" applyFont="1" applyFill="1">
      <alignment/>
      <protection/>
    </xf>
    <xf numFmtId="168" fontId="25" fillId="3" borderId="0" xfId="0" applyNumberFormat="1" applyFont="1" applyFill="1" applyAlignment="1">
      <alignment horizontal="left" indent="2"/>
    </xf>
    <xf numFmtId="168" fontId="25" fillId="3" borderId="0" xfId="0" applyNumberFormat="1" applyFont="1" applyFill="1" applyAlignment="1">
      <alignment horizontal="right"/>
    </xf>
    <xf numFmtId="168" fontId="20" fillId="3" borderId="11" xfId="26" applyNumberFormat="1" applyFont="1" applyFill="1" applyBorder="1" applyAlignment="1">
      <alignment horizontal="left" indent="1"/>
      <protection/>
    </xf>
    <xf numFmtId="170" fontId="26" fillId="3" borderId="13" xfId="0" applyNumberFormat="1" applyFont="1" applyFill="1" applyBorder="1"/>
    <xf numFmtId="170" fontId="31" fillId="3" borderId="0" xfId="26" applyNumberFormat="1" applyFont="1" applyFill="1" applyBorder="1">
      <alignment/>
      <protection/>
    </xf>
    <xf numFmtId="170" fontId="25" fillId="3" borderId="13" xfId="0" applyNumberFormat="1" applyFont="1" applyFill="1" applyBorder="1"/>
    <xf numFmtId="170" fontId="20" fillId="3" borderId="0" xfId="26" applyNumberFormat="1" applyFont="1" applyFill="1" applyBorder="1">
      <alignment/>
      <protection/>
    </xf>
    <xf numFmtId="170" fontId="25" fillId="3" borderId="11" xfId="0" applyNumberFormat="1" applyFont="1" applyFill="1" applyBorder="1"/>
    <xf numFmtId="0" fontId="26" fillId="3" borderId="0" xfId="0" applyFont="1" applyFill="1" applyBorder="1"/>
    <xf numFmtId="0" fontId="26" fillId="3" borderId="17" xfId="0" applyFont="1" applyFill="1" applyBorder="1"/>
    <xf numFmtId="0" fontId="26" fillId="3" borderId="0" xfId="0" applyFont="1" applyFill="1"/>
    <xf numFmtId="168" fontId="20" fillId="3" borderId="10" xfId="26" applyNumberFormat="1" applyFont="1" applyFill="1" applyBorder="1" applyAlignment="1">
      <alignment horizontal="left" indent="1"/>
      <protection/>
    </xf>
    <xf numFmtId="170" fontId="25" fillId="3" borderId="10" xfId="0" applyNumberFormat="1" applyFont="1" applyFill="1" applyBorder="1"/>
    <xf numFmtId="168" fontId="20" fillId="3" borderId="1" xfId="26" applyNumberFormat="1" applyFont="1" applyFill="1" applyBorder="1" applyAlignment="1">
      <alignment horizontal="left" indent="1"/>
      <protection/>
    </xf>
    <xf numFmtId="170" fontId="20" fillId="3" borderId="11" xfId="26" applyNumberFormat="1" applyFont="1" applyFill="1" applyBorder="1">
      <alignment/>
      <protection/>
    </xf>
    <xf numFmtId="170" fontId="25" fillId="3" borderId="26" xfId="0" applyNumberFormat="1" applyFont="1" applyFill="1" applyBorder="1"/>
    <xf numFmtId="0" fontId="25" fillId="3" borderId="18" xfId="0" applyFont="1" applyFill="1" applyBorder="1"/>
    <xf numFmtId="0" fontId="25" fillId="3" borderId="10" xfId="0" applyFont="1" applyFill="1" applyBorder="1"/>
    <xf numFmtId="0" fontId="25" fillId="3" borderId="16" xfId="0" applyFont="1" applyFill="1" applyBorder="1"/>
    <xf numFmtId="1" fontId="7" fillId="4" borderId="0" xfId="0" applyNumberFormat="1" applyFont="1" applyFill="1" applyBorder="1" applyAlignment="1">
      <alignment horizontal="center"/>
    </xf>
    <xf numFmtId="17" fontId="0" fillId="4" borderId="0" xfId="0" applyNumberFormat="1" applyFont="1" applyFill="1" applyBorder="1" applyAlignment="1">
      <alignment horizontal="center"/>
    </xf>
    <xf numFmtId="0" fontId="7" fillId="4" borderId="0" xfId="0" applyFont="1" applyFill="1" applyBorder="1" applyAlignment="1">
      <alignment horizontal="center"/>
    </xf>
    <xf numFmtId="171" fontId="25" fillId="4" borderId="0" xfId="0" applyNumberFormat="1" applyFont="1" applyFill="1" applyBorder="1" applyAlignment="1">
      <alignment horizontal="right"/>
    </xf>
    <xf numFmtId="171" fontId="25" fillId="4" borderId="2" xfId="0" applyNumberFormat="1" applyFont="1" applyFill="1" applyBorder="1" applyAlignment="1">
      <alignment horizontal="right"/>
    </xf>
    <xf numFmtId="171" fontId="26" fillId="4" borderId="7" xfId="0" applyNumberFormat="1" applyFont="1" applyFill="1" applyBorder="1" applyAlignment="1">
      <alignment horizontal="right"/>
    </xf>
    <xf numFmtId="171" fontId="26" fillId="4" borderId="0" xfId="0" applyNumberFormat="1" applyFont="1" applyFill="1" applyBorder="1" applyAlignment="1">
      <alignment horizontal="right"/>
    </xf>
    <xf numFmtId="170" fontId="25" fillId="4" borderId="0" xfId="0" applyNumberFormat="1" applyFont="1" applyFill="1" applyBorder="1" applyAlignment="1">
      <alignment horizontal="right"/>
    </xf>
    <xf numFmtId="171" fontId="25" fillId="4" borderId="0" xfId="0" applyNumberFormat="1" applyFont="1" applyFill="1" applyBorder="1"/>
    <xf numFmtId="171" fontId="25" fillId="4" borderId="2" xfId="0" applyNumberFormat="1" applyFont="1" applyFill="1" applyBorder="1"/>
    <xf numFmtId="171" fontId="26" fillId="4" borderId="7" xfId="0" applyNumberFormat="1" applyFont="1" applyFill="1" applyBorder="1"/>
    <xf numFmtId="181" fontId="25" fillId="4" borderId="0" xfId="0" applyNumberFormat="1" applyFont="1" applyFill="1" applyBorder="1"/>
    <xf numFmtId="181" fontId="26" fillId="4" borderId="7" xfId="0" applyNumberFormat="1" applyFont="1" applyFill="1" applyBorder="1"/>
    <xf numFmtId="170" fontId="25" fillId="4" borderId="9" xfId="0" applyNumberFormat="1" applyFont="1" applyFill="1" applyBorder="1"/>
    <xf numFmtId="173" fontId="26" fillId="4" borderId="0" xfId="16" applyNumberFormat="1" applyFont="1" applyFill="1" applyBorder="1" applyAlignment="1">
      <alignment horizontal="right" indent="1"/>
      <protection/>
    </xf>
    <xf numFmtId="181" fontId="26" fillId="4" borderId="0" xfId="0" applyNumberFormat="1" applyFont="1" applyFill="1" applyBorder="1"/>
    <xf numFmtId="0" fontId="25" fillId="4" borderId="0" xfId="0" applyNumberFormat="1" applyFont="1" applyFill="1" applyBorder="1"/>
    <xf numFmtId="174" fontId="25" fillId="4" borderId="0" xfId="0" applyNumberFormat="1" applyFont="1" applyFill="1" applyBorder="1" applyAlignment="1">
      <alignment horizontal="right"/>
    </xf>
    <xf numFmtId="170" fontId="25" fillId="4" borderId="0" xfId="0" applyNumberFormat="1" applyFont="1" applyFill="1" applyBorder="1" applyAlignment="1">
      <alignment horizontal="left" indent="1"/>
    </xf>
    <xf numFmtId="17" fontId="2" fillId="4" borderId="0" xfId="0" applyNumberFormat="1" applyFont="1" applyFill="1" applyBorder="1" applyAlignment="1">
      <alignment horizontal="center"/>
    </xf>
    <xf numFmtId="0" fontId="3" fillId="4" borderId="0" xfId="0" applyFont="1" applyFill="1" applyBorder="1" applyAlignment="1">
      <alignment horizontal="center"/>
    </xf>
    <xf numFmtId="173" fontId="26" fillId="4" borderId="0" xfId="16" applyNumberFormat="1" applyFont="1" applyFill="1" applyBorder="1">
      <alignment/>
      <protection/>
    </xf>
    <xf numFmtId="171" fontId="25" fillId="4" borderId="0" xfId="0" applyNumberFormat="1" applyFont="1" applyFill="1" applyAlignment="1">
      <alignment horizontal="right"/>
    </xf>
    <xf numFmtId="171" fontId="25" fillId="4" borderId="0" xfId="0" applyNumberFormat="1" applyFont="1" applyFill="1"/>
    <xf numFmtId="170" fontId="23" fillId="4" borderId="0" xfId="0" applyNumberFormat="1" applyFont="1" applyFill="1"/>
    <xf numFmtId="173" fontId="26" fillId="4" borderId="0" xfId="16" applyNumberFormat="1" applyFont="1" applyFill="1">
      <alignment/>
      <protection/>
    </xf>
    <xf numFmtId="171" fontId="23" fillId="4" borderId="0" xfId="0" applyNumberFormat="1" applyFont="1" applyFill="1"/>
    <xf numFmtId="0" fontId="25" fillId="4" borderId="0" xfId="0" applyNumberFormat="1" applyFont="1" applyFill="1"/>
    <xf numFmtId="174" fontId="25" fillId="4" borderId="0" xfId="0" applyNumberFormat="1" applyFont="1" applyFill="1" applyAlignment="1">
      <alignment horizontal="right"/>
    </xf>
    <xf numFmtId="17" fontId="34" fillId="4" borderId="0" xfId="30" applyNumberFormat="1" applyFont="1" applyFill="1" applyBorder="1" applyAlignment="1">
      <alignment horizontal="center"/>
      <protection/>
    </xf>
    <xf numFmtId="168" fontId="26" fillId="4" borderId="0" xfId="30" applyNumberFormat="1" applyFont="1" applyFill="1" applyBorder="1" applyAlignment="1">
      <alignment horizontal="center"/>
      <protection/>
    </xf>
    <xf numFmtId="17" fontId="35" fillId="4" borderId="0" xfId="30" applyNumberFormat="1" applyFont="1" applyFill="1" applyBorder="1" applyAlignment="1">
      <alignment horizontal="center"/>
      <protection/>
    </xf>
    <xf numFmtId="168" fontId="31" fillId="4" borderId="0" xfId="30" applyNumberFormat="1" applyFont="1" applyFill="1" applyBorder="1" applyAlignment="1">
      <alignment horizontal="center"/>
      <protection/>
    </xf>
    <xf numFmtId="17" fontId="35" fillId="4" borderId="0" xfId="30" applyNumberFormat="1" applyFont="1" applyFill="1" applyAlignment="1">
      <alignment horizontal="center"/>
      <protection/>
    </xf>
    <xf numFmtId="168" fontId="31" fillId="4" borderId="0" xfId="30" applyNumberFormat="1" applyFont="1" applyFill="1" applyAlignment="1">
      <alignment horizontal="center"/>
      <protection/>
    </xf>
    <xf numFmtId="0" fontId="23" fillId="3" borderId="0" xfId="0" applyFont="1" applyFill="1" applyBorder="1"/>
    <xf numFmtId="170" fontId="26" fillId="3" borderId="7" xfId="0" applyNumberFormat="1" applyFont="1" applyFill="1" applyBorder="1"/>
    <xf numFmtId="170" fontId="26" fillId="4" borderId="7" xfId="0" applyNumberFormat="1" applyFont="1" applyFill="1" applyBorder="1"/>
    <xf numFmtId="170" fontId="25" fillId="3" borderId="2" xfId="0" applyNumberFormat="1" applyFont="1" applyFill="1" applyBorder="1" applyAlignment="1">
      <alignment horizontal="left" indent="1"/>
    </xf>
    <xf numFmtId="170" fontId="0" fillId="3" borderId="0" xfId="0" applyNumberFormat="1" applyFont="1" applyFill="1" applyBorder="1" applyAlignment="1">
      <alignment horizontal="left" indent="1"/>
    </xf>
    <xf numFmtId="191" fontId="25" fillId="3" borderId="0" xfId="0" applyNumberFormat="1" applyFont="1" applyFill="1"/>
    <xf numFmtId="170" fontId="25" fillId="3" borderId="2" xfId="0" applyNumberFormat="1" applyFont="1" applyFill="1" applyBorder="1" applyAlignment="1">
      <alignment horizontal="left" indent="2"/>
    </xf>
    <xf numFmtId="176" fontId="31" fillId="3" borderId="0" xfId="0" applyNumberFormat="1" applyFont="1" applyFill="1" applyAlignment="1">
      <alignment horizontal="left"/>
    </xf>
    <xf numFmtId="176" fontId="26" fillId="4" borderId="0" xfId="0" applyNumberFormat="1" applyFont="1" applyFill="1" applyBorder="1"/>
    <xf numFmtId="176" fontId="26" fillId="3" borderId="0" xfId="0" applyNumberFormat="1" applyFont="1" applyFill="1" applyBorder="1"/>
    <xf numFmtId="176" fontId="26" fillId="4" borderId="0" xfId="16" applyNumberFormat="1" applyFont="1" applyFill="1">
      <alignment/>
      <protection/>
    </xf>
    <xf numFmtId="181" fontId="25" fillId="3" borderId="0" xfId="0" applyNumberFormat="1" applyFont="1" applyFill="1" applyBorder="1"/>
    <xf numFmtId="170" fontId="26" fillId="3" borderId="7" xfId="0" applyNumberFormat="1" applyFont="1" applyFill="1" applyBorder="1" applyAlignment="1">
      <alignment horizontal="left"/>
    </xf>
    <xf numFmtId="0" fontId="6" fillId="4" borderId="0" xfId="0" applyFont="1" applyFill="1" applyBorder="1" applyAlignment="1">
      <alignment horizontal="center"/>
    </xf>
    <xf numFmtId="176" fontId="26" fillId="4" borderId="0" xfId="16" applyNumberFormat="1" applyFont="1" applyFill="1" applyBorder="1">
      <alignment/>
      <protection/>
    </xf>
    <xf numFmtId="166" fontId="7" fillId="4" borderId="0" xfId="0" applyNumberFormat="1" applyFont="1" applyFill="1" applyBorder="1"/>
    <xf numFmtId="187" fontId="0" fillId="4" borderId="0" xfId="0" applyNumberFormat="1" applyFont="1" applyFill="1" applyBorder="1"/>
    <xf numFmtId="166" fontId="26" fillId="4" borderId="0" xfId="30" applyNumberFormat="1" applyFont="1" applyFill="1" applyBorder="1">
      <alignment/>
      <protection/>
    </xf>
    <xf numFmtId="170" fontId="0" fillId="3" borderId="0" xfId="0" applyNumberFormat="1" applyFont="1" applyFill="1" applyAlignment="1">
      <alignment horizontal="left" indent="4"/>
    </xf>
    <xf numFmtId="170" fontId="0" fillId="3" borderId="0" xfId="0" applyNumberFormat="1" applyFont="1" applyFill="1" applyAlignment="1">
      <alignment horizontal="left" indent="5"/>
    </xf>
    <xf numFmtId="170" fontId="0" fillId="3" borderId="7" xfId="0" applyNumberFormat="1" applyFont="1" applyFill="1" applyBorder="1" applyAlignment="1">
      <alignment horizontal="left" indent="4"/>
    </xf>
    <xf numFmtId="170" fontId="25" fillId="4" borderId="7" xfId="0" applyNumberFormat="1" applyFont="1" applyFill="1" applyBorder="1"/>
    <xf numFmtId="170" fontId="25" fillId="3" borderId="7" xfId="0" applyNumberFormat="1" applyFont="1" applyFill="1" applyBorder="1"/>
    <xf numFmtId="170" fontId="0" fillId="3" borderId="7" xfId="0" applyNumberFormat="1" applyFont="1" applyFill="1" applyBorder="1" applyAlignment="1">
      <alignment horizontal="left" indent="3"/>
    </xf>
    <xf numFmtId="171" fontId="25" fillId="3" borderId="7" xfId="0" applyNumberFormat="1" applyFont="1" applyFill="1" applyBorder="1" applyAlignment="1">
      <alignment horizontal="left" indent="3"/>
    </xf>
    <xf numFmtId="171" fontId="25" fillId="4" borderId="7" xfId="0" applyNumberFormat="1" applyFont="1" applyFill="1" applyBorder="1"/>
    <xf numFmtId="171" fontId="25" fillId="3" borderId="7" xfId="0" applyNumberFormat="1" applyFont="1" applyFill="1" applyBorder="1"/>
    <xf numFmtId="171" fontId="25" fillId="3" borderId="7" xfId="0" applyNumberFormat="1" applyFont="1" applyFill="1" applyBorder="1" applyAlignment="1">
      <alignment horizontal="left" indent="2"/>
    </xf>
    <xf numFmtId="170" fontId="25" fillId="3" borderId="0" xfId="0" applyNumberFormat="1" applyFont="1" applyFill="1" applyAlignment="1">
      <alignment horizontal="left" indent="5"/>
    </xf>
    <xf numFmtId="171" fontId="7" fillId="3" borderId="0" xfId="0" applyNumberFormat="1" applyFont="1" applyFill="1" applyBorder="1" applyAlignment="1">
      <alignment horizontal="left"/>
    </xf>
    <xf numFmtId="171" fontId="26" fillId="3" borderId="0" xfId="0" applyNumberFormat="1" applyFont="1" applyFill="1" applyBorder="1" applyAlignment="1">
      <alignment horizontal="left" indent="3"/>
    </xf>
    <xf numFmtId="17" fontId="20" fillId="3" borderId="0" xfId="26" applyNumberFormat="1" applyFont="1" applyFill="1" applyBorder="1">
      <alignment/>
      <protection/>
    </xf>
    <xf numFmtId="17" fontId="25" fillId="3" borderId="0" xfId="0" applyNumberFormat="1" applyFont="1" applyFill="1" applyBorder="1"/>
    <xf numFmtId="17" fontId="25" fillId="3" borderId="17" xfId="0" applyNumberFormat="1" applyFont="1" applyFill="1" applyBorder="1"/>
    <xf numFmtId="17" fontId="25" fillId="3" borderId="12" xfId="0" applyNumberFormat="1" applyFont="1" applyFill="1" applyBorder="1"/>
    <xf numFmtId="192" fontId="20" fillId="3" borderId="0" xfId="26" applyNumberFormat="1" applyFont="1" applyFill="1" applyBorder="1">
      <alignment/>
      <protection/>
    </xf>
    <xf numFmtId="192" fontId="25" fillId="3" borderId="0" xfId="0" applyNumberFormat="1" applyFont="1" applyFill="1" applyBorder="1"/>
    <xf numFmtId="192" fontId="25" fillId="3" borderId="12" xfId="0" applyNumberFormat="1" applyFont="1" applyFill="1" applyBorder="1"/>
    <xf numFmtId="188" fontId="20" fillId="3" borderId="0" xfId="26" applyNumberFormat="1" applyFont="1" applyFill="1" applyBorder="1">
      <alignment/>
      <protection/>
    </xf>
    <xf numFmtId="188" fontId="25" fillId="3" borderId="0" xfId="0" applyNumberFormat="1" applyFont="1" applyFill="1" applyBorder="1"/>
    <xf numFmtId="188" fontId="25" fillId="3" borderId="17" xfId="0" applyNumberFormat="1" applyFont="1" applyFill="1" applyBorder="1"/>
    <xf numFmtId="188" fontId="25" fillId="3" borderId="12" xfId="0" applyNumberFormat="1" applyFont="1" applyFill="1" applyBorder="1"/>
    <xf numFmtId="168" fontId="20" fillId="3" borderId="27" xfId="26" applyNumberFormat="1" applyFont="1" applyFill="1" applyBorder="1" applyAlignment="1">
      <alignment horizontal="left" indent="1"/>
      <protection/>
    </xf>
    <xf numFmtId="188" fontId="20" fillId="3" borderId="2" xfId="26" applyNumberFormat="1" applyFont="1" applyFill="1" applyBorder="1">
      <alignment/>
      <protection/>
    </xf>
    <xf numFmtId="188" fontId="25" fillId="3" borderId="2" xfId="0" applyNumberFormat="1" applyFont="1" applyFill="1" applyBorder="1"/>
    <xf numFmtId="188" fontId="25" fillId="3" borderId="20" xfId="0" applyNumberFormat="1" applyFont="1" applyFill="1" applyBorder="1"/>
    <xf numFmtId="188" fontId="25" fillId="3" borderId="28" xfId="0" applyNumberFormat="1" applyFont="1" applyFill="1" applyBorder="1"/>
    <xf numFmtId="192" fontId="0" fillId="4" borderId="0" xfId="0" applyNumberFormat="1" applyFont="1" applyFill="1" applyBorder="1" applyAlignment="1">
      <alignment horizontal="right"/>
    </xf>
    <xf numFmtId="192" fontId="0" fillId="3" borderId="0" xfId="0" applyNumberFormat="1" applyFont="1" applyFill="1" applyBorder="1" applyAlignment="1">
      <alignment horizontal="right"/>
    </xf>
    <xf numFmtId="192" fontId="0" fillId="4" borderId="0" xfId="0" applyNumberFormat="1" applyFont="1" applyFill="1" applyBorder="1"/>
    <xf numFmtId="188" fontId="0" fillId="4" borderId="0" xfId="0" applyNumberFormat="1" applyFont="1" applyFill="1" applyBorder="1" applyAlignment="1">
      <alignment horizontal="right"/>
    </xf>
    <xf numFmtId="188" fontId="0" fillId="3" borderId="0" xfId="0" applyNumberFormat="1" applyFont="1" applyFill="1" applyBorder="1" applyAlignment="1">
      <alignment horizontal="right"/>
    </xf>
    <xf numFmtId="188" fontId="0" fillId="4" borderId="0" xfId="0" applyNumberFormat="1" applyFont="1" applyFill="1" applyBorder="1"/>
    <xf numFmtId="170" fontId="25" fillId="3" borderId="0" xfId="30" applyNumberFormat="1" applyFont="1" applyFill="1" applyBorder="1" applyAlignment="1">
      <alignment horizontal="left" indent="1"/>
      <protection/>
    </xf>
    <xf numFmtId="170" fontId="25" fillId="3" borderId="0" xfId="30" applyNumberFormat="1" applyFont="1" applyFill="1" applyBorder="1" applyAlignment="1">
      <alignment horizontal="left" indent="3"/>
      <protection/>
    </xf>
    <xf numFmtId="193" fontId="7" fillId="3" borderId="0" xfId="0" applyNumberFormat="1" applyFont="1" applyFill="1" applyAlignment="1">
      <alignment horizontal="left"/>
    </xf>
    <xf numFmtId="170" fontId="22" fillId="5" borderId="0" xfId="0" applyNumberFormat="1" applyFont="1" applyFill="1" applyAlignment="1">
      <alignment horizontal="left"/>
    </xf>
    <xf numFmtId="170" fontId="22" fillId="5" borderId="0" xfId="0" applyNumberFormat="1" applyFont="1" applyFill="1" applyAlignment="1">
      <alignment horizontal="left" indent="3"/>
    </xf>
    <xf numFmtId="194" fontId="25" fillId="3" borderId="0" xfId="0" applyNumberFormat="1" applyFont="1" applyFill="1" applyBorder="1"/>
    <xf numFmtId="194" fontId="25" fillId="3" borderId="0" xfId="0" applyNumberFormat="1" applyFont="1" applyFill="1"/>
    <xf numFmtId="194" fontId="25" fillId="4" borderId="0" xfId="0" applyNumberFormat="1" applyFont="1" applyFill="1"/>
    <xf numFmtId="173" fontId="7" fillId="3" borderId="0" xfId="0" applyNumberFormat="1" applyFont="1" applyFill="1" applyBorder="1"/>
    <xf numFmtId="176" fontId="26" fillId="3" borderId="0" xfId="16" applyNumberFormat="1" applyFont="1" applyFill="1" applyBorder="1">
      <alignment/>
      <protection/>
    </xf>
    <xf numFmtId="170" fontId="28" fillId="4" borderId="0" xfId="0" applyNumberFormat="1" applyFont="1" applyFill="1" applyBorder="1"/>
    <xf numFmtId="173" fontId="7" fillId="4" borderId="0" xfId="0" applyNumberFormat="1" applyFont="1" applyFill="1" applyBorder="1"/>
    <xf numFmtId="194" fontId="25" fillId="4" borderId="0" xfId="0" applyNumberFormat="1" applyFont="1" applyFill="1" applyBorder="1"/>
    <xf numFmtId="170" fontId="25" fillId="4" borderId="2" xfId="0" applyNumberFormat="1" applyFont="1" applyFill="1" applyBorder="1" applyAlignment="1">
      <alignment horizontal="left" indent="1"/>
    </xf>
    <xf numFmtId="170" fontId="0" fillId="4" borderId="0" xfId="0" applyNumberFormat="1" applyFont="1" applyFill="1" applyBorder="1" applyAlignment="1">
      <alignment horizontal="right"/>
    </xf>
    <xf numFmtId="170" fontId="47" fillId="5" borderId="0" xfId="0" applyNumberFormat="1" applyFont="1" applyFill="1" applyBorder="1"/>
    <xf numFmtId="168" fontId="0" fillId="3" borderId="0" xfId="0" applyNumberFormat="1" applyFont="1" applyFill="1"/>
    <xf numFmtId="0" fontId="0" fillId="0" borderId="0" xfId="0" applyFill="1"/>
    <xf numFmtId="0" fontId="0" fillId="0" borderId="0" xfId="0" applyFont="1" applyFill="1"/>
    <xf numFmtId="168" fontId="0" fillId="0" borderId="0" xfId="0" applyNumberFormat="1" applyFont="1" applyFill="1"/>
    <xf numFmtId="0" fontId="7" fillId="0" borderId="0" xfId="0" applyFont="1" applyFill="1"/>
    <xf numFmtId="168" fontId="7" fillId="0" borderId="0" xfId="0" applyNumberFormat="1" applyFont="1" applyFill="1" applyAlignment="1">
      <alignment horizontal="center"/>
    </xf>
    <xf numFmtId="171" fontId="7" fillId="0" borderId="0" xfId="0" applyNumberFormat="1" applyFont="1" applyFill="1"/>
    <xf numFmtId="171" fontId="0" fillId="0" borderId="0" xfId="0" applyNumberFormat="1" applyFont="1" applyFill="1"/>
    <xf numFmtId="168" fontId="7" fillId="0" borderId="0" xfId="0" applyNumberFormat="1" applyFont="1" applyFill="1"/>
    <xf numFmtId="170" fontId="0" fillId="0" borderId="0" xfId="0" applyNumberFormat="1" applyFont="1" applyFill="1"/>
    <xf numFmtId="170" fontId="7" fillId="0" borderId="0" xfId="0" applyNumberFormat="1" applyFont="1" applyFill="1"/>
    <xf numFmtId="170" fontId="23" fillId="0" borderId="0" xfId="0" applyNumberFormat="1" applyFont="1" applyFill="1"/>
    <xf numFmtId="171" fontId="23" fillId="0" borderId="0" xfId="0" applyNumberFormat="1" applyFont="1" applyFill="1"/>
    <xf numFmtId="171" fontId="19" fillId="0" borderId="0" xfId="0" applyNumberFormat="1" applyFont="1" applyFill="1"/>
    <xf numFmtId="181" fontId="0" fillId="0" borderId="0" xfId="0" applyNumberFormat="1" applyFont="1" applyFill="1"/>
    <xf numFmtId="181" fontId="7" fillId="0" borderId="0" xfId="0" applyNumberFormat="1" applyFont="1" applyFill="1"/>
    <xf numFmtId="170" fontId="28" fillId="0" borderId="0" xfId="0" applyNumberFormat="1" applyFont="1" applyFill="1"/>
    <xf numFmtId="170" fontId="27" fillId="0" borderId="0" xfId="0" applyNumberFormat="1" applyFont="1" applyFill="1"/>
    <xf numFmtId="170" fontId="19" fillId="0" borderId="0" xfId="0" applyNumberFormat="1" applyFont="1" applyFill="1"/>
    <xf numFmtId="168" fontId="19" fillId="0" borderId="0" xfId="0" applyNumberFormat="1" applyFont="1" applyFill="1"/>
    <xf numFmtId="173" fontId="7" fillId="0" borderId="0" xfId="0" applyNumberFormat="1" applyFont="1" applyFill="1"/>
    <xf numFmtId="173" fontId="23" fillId="0" borderId="0" xfId="0" applyNumberFormat="1" applyFont="1" applyFill="1"/>
    <xf numFmtId="176" fontId="7" fillId="0" borderId="0" xfId="0" applyNumberFormat="1" applyFont="1" applyFill="1"/>
    <xf numFmtId="181" fontId="23" fillId="0" borderId="0" xfId="0" applyNumberFormat="1" applyFont="1" applyFill="1"/>
    <xf numFmtId="166" fontId="7" fillId="0" borderId="0" xfId="0" applyNumberFormat="1" applyFont="1" applyFill="1"/>
    <xf numFmtId="174" fontId="0" fillId="0" borderId="0" xfId="0" applyNumberFormat="1" applyFont="1" applyFill="1"/>
    <xf numFmtId="187" fontId="0" fillId="0" borderId="0" xfId="0" applyNumberFormat="1" applyFont="1" applyFill="1"/>
    <xf numFmtId="188" fontId="0" fillId="0" borderId="0" xfId="0" applyNumberFormat="1" applyFont="1" applyFill="1"/>
    <xf numFmtId="168" fontId="0" fillId="0" borderId="0" xfId="0" applyNumberFormat="1" applyFill="1"/>
    <xf numFmtId="187" fontId="0" fillId="0" borderId="0" xfId="0" applyNumberFormat="1" applyFill="1"/>
    <xf numFmtId="170" fontId="0" fillId="0" borderId="0" xfId="0" applyNumberFormat="1" applyFill="1"/>
    <xf numFmtId="0" fontId="36" fillId="0" borderId="0" xfId="30" applyFont="1" applyFill="1">
      <alignment/>
      <protection/>
    </xf>
    <xf numFmtId="0" fontId="0" fillId="0" borderId="0" xfId="30" applyFill="1">
      <alignment/>
      <protection/>
    </xf>
    <xf numFmtId="0" fontId="7" fillId="0" borderId="0" xfId="30" applyFont="1" applyFill="1">
      <alignment/>
      <protection/>
    </xf>
    <xf numFmtId="0" fontId="19" fillId="0" borderId="0" xfId="30" applyFont="1" applyFill="1">
      <alignment/>
      <protection/>
    </xf>
    <xf numFmtId="171" fontId="0" fillId="0" borderId="0" xfId="30" applyNumberFormat="1" applyFill="1">
      <alignment/>
      <protection/>
    </xf>
    <xf numFmtId="0" fontId="0" fillId="0" borderId="0" xfId="30" applyFill="1" applyAlignment="1">
      <alignment horizontal="left"/>
      <protection/>
    </xf>
    <xf numFmtId="0" fontId="9" fillId="0" borderId="0" xfId="30" applyFont="1" applyFill="1">
      <alignment/>
      <protection/>
    </xf>
    <xf numFmtId="0" fontId="37" fillId="0" borderId="0" xfId="30" applyFont="1" applyFill="1" applyAlignment="1">
      <alignment horizontal="left"/>
      <protection/>
    </xf>
    <xf numFmtId="0" fontId="37" fillId="0" borderId="0" xfId="30" applyFont="1" applyFill="1" applyAlignment="1">
      <alignment horizontal="center"/>
      <protection/>
    </xf>
    <xf numFmtId="168" fontId="0" fillId="0" borderId="0" xfId="30" applyNumberFormat="1" applyFill="1">
      <alignment/>
      <protection/>
    </xf>
    <xf numFmtId="166" fontId="7" fillId="0" borderId="0" xfId="30" applyNumberFormat="1" applyFont="1" applyFill="1">
      <alignment/>
      <protection/>
    </xf>
    <xf numFmtId="168" fontId="7" fillId="0" borderId="0" xfId="30" applyNumberFormat="1" applyFont="1" applyFill="1">
      <alignment/>
      <protection/>
    </xf>
    <xf numFmtId="170" fontId="7" fillId="0" borderId="0" xfId="30" applyNumberFormat="1" applyFont="1" applyFill="1">
      <alignment/>
      <protection/>
    </xf>
    <xf numFmtId="170" fontId="0" fillId="0" borderId="0" xfId="30" applyNumberFormat="1" applyFill="1">
      <alignment/>
      <protection/>
    </xf>
    <xf numFmtId="171" fontId="7" fillId="0" borderId="0" xfId="30" applyNumberFormat="1" applyFont="1" applyFill="1">
      <alignment/>
      <protection/>
    </xf>
    <xf numFmtId="173" fontId="7" fillId="0" borderId="0" xfId="30" applyNumberFormat="1" applyFont="1" applyFill="1">
      <alignment/>
      <protection/>
    </xf>
    <xf numFmtId="181" fontId="7" fillId="0" borderId="0" xfId="30" applyNumberFormat="1" applyFont="1" applyFill="1">
      <alignment/>
      <protection/>
    </xf>
    <xf numFmtId="174" fontId="0" fillId="0" borderId="0" xfId="30" applyNumberFormat="1" applyFill="1">
      <alignment/>
      <protection/>
    </xf>
    <xf numFmtId="171" fontId="9" fillId="4" borderId="0" xfId="0" applyNumberFormat="1" applyFont="1" applyFill="1" applyBorder="1" applyAlignment="1">
      <alignment horizontal="right"/>
    </xf>
    <xf numFmtId="170" fontId="9" fillId="4" borderId="0" xfId="0" applyNumberFormat="1" applyFont="1" applyFill="1" applyBorder="1"/>
    <xf numFmtId="171" fontId="9" fillId="4" borderId="0" xfId="0" applyNumberFormat="1" applyFont="1" applyFill="1" applyBorder="1"/>
    <xf numFmtId="181" fontId="9" fillId="4" borderId="0" xfId="0" applyNumberFormat="1" applyFont="1" applyFill="1" applyBorder="1"/>
    <xf numFmtId="170" fontId="13" fillId="4" borderId="0" xfId="0" applyNumberFormat="1" applyFont="1" applyFill="1" applyBorder="1"/>
    <xf numFmtId="171" fontId="13" fillId="4" borderId="0" xfId="0" applyNumberFormat="1" applyFont="1" applyFill="1" applyBorder="1"/>
    <xf numFmtId="173" fontId="23" fillId="4" borderId="0" xfId="0" applyNumberFormat="1" applyFont="1" applyFill="1" applyBorder="1" applyAlignment="1">
      <alignment horizontal="right"/>
    </xf>
    <xf numFmtId="176" fontId="13" fillId="4" borderId="0" xfId="16" applyNumberFormat="1" applyFont="1" applyFill="1" applyBorder="1">
      <alignment/>
      <protection/>
    </xf>
    <xf numFmtId="170" fontId="26" fillId="4" borderId="0" xfId="0" applyNumberFormat="1" applyFont="1" applyFill="1" applyBorder="1" applyAlignment="1">
      <alignment horizontal="right"/>
    </xf>
    <xf numFmtId="171" fontId="23" fillId="4" borderId="0" xfId="0" applyNumberFormat="1" applyFont="1" applyFill="1" applyBorder="1" applyAlignment="1">
      <alignment horizontal="right"/>
    </xf>
    <xf numFmtId="181" fontId="23" fillId="4" borderId="0" xfId="0" applyNumberFormat="1" applyFont="1" applyFill="1" applyBorder="1" applyAlignment="1">
      <alignment horizontal="right"/>
    </xf>
    <xf numFmtId="173" fontId="13" fillId="4" borderId="0" xfId="0" applyNumberFormat="1" applyFont="1" applyFill="1" applyBorder="1"/>
    <xf numFmtId="1" fontId="26" fillId="4" borderId="0" xfId="0" applyNumberFormat="1" applyFont="1" applyFill="1" applyAlignment="1">
      <alignment horizontal="center"/>
    </xf>
    <xf numFmtId="17" fontId="20" fillId="4" borderId="0" xfId="0" applyNumberFormat="1" applyFont="1" applyFill="1" applyAlignment="1">
      <alignment horizontal="center"/>
    </xf>
    <xf numFmtId="0" fontId="31" fillId="4" borderId="0" xfId="0" applyFont="1" applyFill="1" applyAlignment="1">
      <alignment horizontal="center"/>
    </xf>
    <xf numFmtId="171" fontId="26" fillId="4" borderId="0" xfId="0" applyNumberFormat="1" applyFont="1" applyFill="1" applyAlignment="1">
      <alignment horizontal="right"/>
    </xf>
    <xf numFmtId="170" fontId="26" fillId="4" borderId="7" xfId="0" applyNumberFormat="1" applyFont="1" applyFill="1" applyBorder="1" applyAlignment="1">
      <alignment horizontal="right"/>
    </xf>
    <xf numFmtId="170" fontId="25" fillId="4" borderId="9" xfId="0" applyNumberFormat="1" applyFont="1" applyFill="1" applyBorder="1" applyAlignment="1">
      <alignment horizontal="right"/>
    </xf>
    <xf numFmtId="170" fontId="25" fillId="4" borderId="0" xfId="0" applyNumberFormat="1" applyFont="1" applyFill="1" applyAlignment="1">
      <alignment horizontal="center"/>
    </xf>
    <xf numFmtId="170" fontId="26" fillId="4" borderId="9" xfId="0" applyNumberFormat="1" applyFont="1" applyFill="1" applyBorder="1"/>
    <xf numFmtId="171" fontId="23" fillId="4" borderId="0" xfId="16" applyNumberFormat="1" applyFont="1" applyFill="1">
      <alignment/>
      <protection/>
    </xf>
    <xf numFmtId="181" fontId="26" fillId="4" borderId="0" xfId="0" applyNumberFormat="1" applyFont="1" applyFill="1"/>
    <xf numFmtId="166" fontId="26" fillId="4" borderId="0" xfId="0" applyNumberFormat="1" applyFont="1" applyFill="1"/>
    <xf numFmtId="187" fontId="25" fillId="4" borderId="0" xfId="0" applyNumberFormat="1" applyFont="1" applyFill="1"/>
    <xf numFmtId="192" fontId="25" fillId="4" borderId="0" xfId="0" applyNumberFormat="1" applyFont="1" applyFill="1"/>
    <xf numFmtId="188" fontId="25" fillId="4" borderId="0" xfId="0" applyNumberFormat="1" applyFont="1" applyFill="1"/>
    <xf numFmtId="1" fontId="26" fillId="4" borderId="0" xfId="0" applyNumberFormat="1" applyFont="1" applyFill="1" applyBorder="1" applyAlignment="1">
      <alignment horizontal="center"/>
    </xf>
    <xf numFmtId="17" fontId="20" fillId="4" borderId="0" xfId="0" applyNumberFormat="1" applyFont="1" applyFill="1" applyBorder="1" applyAlignment="1">
      <alignment horizontal="center"/>
    </xf>
    <xf numFmtId="0" fontId="31" fillId="4" borderId="0" xfId="0" applyFont="1" applyFill="1" applyBorder="1" applyAlignment="1">
      <alignment horizontal="center"/>
    </xf>
    <xf numFmtId="170" fontId="25" fillId="4" borderId="0" xfId="0" applyNumberFormat="1" applyFont="1" applyFill="1" applyBorder="1" applyAlignment="1">
      <alignment horizontal="center"/>
    </xf>
    <xf numFmtId="171" fontId="23" fillId="4" borderId="0" xfId="16" applyNumberFormat="1" applyFont="1" applyFill="1" applyBorder="1">
      <alignment/>
      <protection/>
    </xf>
    <xf numFmtId="166" fontId="26" fillId="4" borderId="0" xfId="0" applyNumberFormat="1" applyFont="1" applyFill="1" applyBorder="1"/>
    <xf numFmtId="187" fontId="25" fillId="4" borderId="0" xfId="0" applyNumberFormat="1" applyFont="1" applyFill="1" applyBorder="1"/>
    <xf numFmtId="192" fontId="25" fillId="4" borderId="0" xfId="0" applyNumberFormat="1" applyFont="1" applyFill="1" applyBorder="1"/>
    <xf numFmtId="188" fontId="25" fillId="4" borderId="0" xfId="0" applyNumberFormat="1" applyFont="1" applyFill="1" applyBorder="1"/>
    <xf numFmtId="181" fontId="25" fillId="4" borderId="0" xfId="0" applyNumberFormat="1" applyFont="1" applyFill="1"/>
    <xf numFmtId="1" fontId="26" fillId="3" borderId="0" xfId="0" applyNumberFormat="1" applyFont="1" applyFill="1" applyAlignment="1">
      <alignment horizontal="center"/>
    </xf>
    <xf numFmtId="17" fontId="20" fillId="3" borderId="0" xfId="0" applyNumberFormat="1" applyFont="1" applyFill="1" applyAlignment="1">
      <alignment horizontal="center"/>
    </xf>
    <xf numFmtId="0" fontId="31" fillId="3" borderId="0" xfId="0" applyFont="1" applyFill="1" applyAlignment="1">
      <alignment horizontal="center"/>
    </xf>
    <xf numFmtId="171" fontId="26" fillId="3" borderId="0" xfId="0" applyNumberFormat="1" applyFont="1" applyFill="1" applyAlignment="1">
      <alignment horizontal="right"/>
    </xf>
    <xf numFmtId="170" fontId="26" fillId="3" borderId="7" xfId="0" applyNumberFormat="1" applyFont="1" applyFill="1" applyBorder="1" applyAlignment="1">
      <alignment horizontal="right"/>
    </xf>
    <xf numFmtId="170" fontId="25" fillId="3" borderId="0" xfId="0" applyNumberFormat="1" applyFont="1" applyFill="1" applyAlignment="1">
      <alignment horizontal="right"/>
    </xf>
    <xf numFmtId="170" fontId="25" fillId="3" borderId="2" xfId="0" applyNumberFormat="1" applyFont="1" applyFill="1" applyBorder="1" applyAlignment="1">
      <alignment horizontal="right"/>
    </xf>
    <xf numFmtId="170" fontId="25" fillId="3" borderId="9" xfId="0" applyNumberFormat="1" applyFont="1" applyFill="1" applyBorder="1" applyAlignment="1">
      <alignment horizontal="right"/>
    </xf>
    <xf numFmtId="171" fontId="26" fillId="3" borderId="7" xfId="0" applyNumberFormat="1" applyFont="1" applyFill="1" applyBorder="1"/>
    <xf numFmtId="171" fontId="25" fillId="3" borderId="2" xfId="0" applyNumberFormat="1" applyFont="1" applyFill="1" applyBorder="1"/>
    <xf numFmtId="181" fontId="26" fillId="3" borderId="7" xfId="0" applyNumberFormat="1" applyFont="1" applyFill="1" applyBorder="1"/>
    <xf numFmtId="170" fontId="26" fillId="3" borderId="9" xfId="0" applyNumberFormat="1" applyFont="1" applyFill="1" applyBorder="1"/>
    <xf numFmtId="173" fontId="26" fillId="3" borderId="0" xfId="0" applyNumberFormat="1" applyFont="1" applyFill="1"/>
    <xf numFmtId="171" fontId="23" fillId="3" borderId="0" xfId="16" applyNumberFormat="1" applyFont="1" applyFill="1">
      <alignment/>
      <protection/>
    </xf>
    <xf numFmtId="181" fontId="26" fillId="3" borderId="0" xfId="0" applyNumberFormat="1" applyFont="1" applyFill="1"/>
    <xf numFmtId="166" fontId="26" fillId="3" borderId="0" xfId="0" applyNumberFormat="1" applyFont="1" applyFill="1" applyAlignment="1">
      <alignment horizontal="right"/>
    </xf>
    <xf numFmtId="187" fontId="25" fillId="3" borderId="0" xfId="0" applyNumberFormat="1" applyFont="1" applyFill="1" applyAlignment="1">
      <alignment horizontal="right"/>
    </xf>
    <xf numFmtId="192" fontId="25" fillId="3" borderId="0" xfId="0" applyNumberFormat="1" applyFont="1" applyFill="1" applyAlignment="1">
      <alignment horizontal="right"/>
    </xf>
    <xf numFmtId="188" fontId="25" fillId="3" borderId="0" xfId="0" applyNumberFormat="1" applyFont="1" applyFill="1" applyAlignment="1">
      <alignment horizontal="right"/>
    </xf>
    <xf numFmtId="176" fontId="7" fillId="3" borderId="0" xfId="16" applyNumberFormat="1" applyFont="1" applyFill="1" applyBorder="1">
      <alignment/>
      <protection/>
    </xf>
    <xf numFmtId="168" fontId="20" fillId="3" borderId="0" xfId="26" applyNumberFormat="1" applyFont="1" applyFill="1" applyBorder="1" applyAlignment="1">
      <alignment horizontal="left" indent="1"/>
      <protection/>
    </xf>
    <xf numFmtId="168" fontId="31" fillId="3" borderId="6" xfId="26" applyNumberFormat="1" applyFont="1" applyFill="1" applyBorder="1" applyAlignment="1">
      <alignment horizontal="left"/>
      <protection/>
    </xf>
    <xf numFmtId="168" fontId="20" fillId="3" borderId="4" xfId="26" applyNumberFormat="1" applyFont="1" applyFill="1" applyBorder="1" applyAlignment="1">
      <alignment horizontal="left" indent="1"/>
      <protection/>
    </xf>
    <xf numFmtId="170" fontId="25" fillId="3" borderId="29" xfId="0" applyNumberFormat="1" applyFont="1" applyFill="1" applyBorder="1"/>
    <xf numFmtId="170" fontId="25" fillId="3" borderId="20" xfId="0" applyNumberFormat="1" applyFont="1" applyFill="1" applyBorder="1"/>
    <xf numFmtId="0" fontId="31" fillId="3" borderId="0" xfId="0" applyFont="1" applyFill="1" applyBorder="1" applyAlignment="1">
      <alignment horizontal="center"/>
    </xf>
    <xf numFmtId="171" fontId="23" fillId="3" borderId="0" xfId="16" applyNumberFormat="1" applyFont="1" applyFill="1" applyBorder="1">
      <alignment/>
      <protection/>
    </xf>
    <xf numFmtId="166" fontId="26" fillId="3" borderId="0" xfId="0" applyNumberFormat="1" applyFont="1" applyFill="1" applyBorder="1" applyAlignment="1">
      <alignment horizontal="right"/>
    </xf>
    <xf numFmtId="187" fontId="25" fillId="3" borderId="0" xfId="0" applyNumberFormat="1" applyFont="1" applyFill="1" applyBorder="1" applyAlignment="1">
      <alignment horizontal="right"/>
    </xf>
    <xf numFmtId="192" fontId="25" fillId="3" borderId="0" xfId="0" applyNumberFormat="1" applyFont="1" applyFill="1" applyBorder="1" applyAlignment="1">
      <alignment horizontal="right"/>
    </xf>
    <xf numFmtId="188" fontId="25" fillId="3" borderId="0" xfId="0" applyNumberFormat="1" applyFont="1" applyFill="1" applyBorder="1" applyAlignment="1">
      <alignment horizontal="right"/>
    </xf>
    <xf numFmtId="168" fontId="25" fillId="3" borderId="0" xfId="0" applyNumberFormat="1" applyFont="1" applyFill="1" applyBorder="1" applyAlignment="1">
      <alignment horizontal="left" indent="3"/>
    </xf>
    <xf numFmtId="170" fontId="25" fillId="3" borderId="0" xfId="0" applyNumberFormat="1" applyFont="1" applyFill="1" applyBorder="1" applyAlignment="1">
      <alignment horizontal="left"/>
    </xf>
    <xf numFmtId="168" fontId="19" fillId="3" borderId="0" xfId="0" applyNumberFormat="1" applyFont="1" applyFill="1" applyBorder="1" applyAlignment="1">
      <alignment horizontal="left" indent="1"/>
    </xf>
    <xf numFmtId="168" fontId="23" fillId="3" borderId="0" xfId="0" applyNumberFormat="1" applyFont="1" applyFill="1" applyBorder="1" applyAlignment="1">
      <alignment horizontal="left" indent="3"/>
    </xf>
    <xf numFmtId="171" fontId="19" fillId="4" borderId="0" xfId="0" applyNumberFormat="1" applyFont="1" applyFill="1" applyBorder="1"/>
    <xf numFmtId="171" fontId="19" fillId="3" borderId="0" xfId="0" applyNumberFormat="1" applyFont="1" applyFill="1" applyBorder="1"/>
    <xf numFmtId="171" fontId="23" fillId="3" borderId="0" xfId="0" applyNumberFormat="1" applyFont="1" applyFill="1" applyBorder="1"/>
    <xf numFmtId="171" fontId="23" fillId="4" borderId="0" xfId="0" applyNumberFormat="1" applyFont="1" applyFill="1" applyBorder="1"/>
    <xf numFmtId="171" fontId="21" fillId="3" borderId="0" xfId="0" applyNumberFormat="1" applyFont="1" applyFill="1" applyBorder="1"/>
    <xf numFmtId="171" fontId="21" fillId="4" borderId="0" xfId="0" applyNumberFormat="1" applyFont="1" applyFill="1" applyBorder="1"/>
    <xf numFmtId="168" fontId="19" fillId="3" borderId="2" xfId="0" applyNumberFormat="1" applyFont="1" applyFill="1" applyBorder="1" applyAlignment="1">
      <alignment horizontal="left" indent="1"/>
    </xf>
    <xf numFmtId="168" fontId="23" fillId="3" borderId="2" xfId="0" applyNumberFormat="1" applyFont="1" applyFill="1" applyBorder="1" applyAlignment="1">
      <alignment horizontal="left" indent="3"/>
    </xf>
    <xf numFmtId="171" fontId="23" fillId="3" borderId="2" xfId="0" applyNumberFormat="1" applyFont="1" applyFill="1" applyBorder="1"/>
    <xf numFmtId="171" fontId="23" fillId="4" borderId="2" xfId="0" applyNumberFormat="1" applyFont="1" applyFill="1" applyBorder="1"/>
    <xf numFmtId="168" fontId="19" fillId="3" borderId="0" xfId="0" applyNumberFormat="1" applyFont="1" applyFill="1" applyBorder="1"/>
    <xf numFmtId="170" fontId="23" fillId="3" borderId="0" xfId="0" applyNumberFormat="1" applyFont="1" applyFill="1" applyBorder="1" applyAlignment="1">
      <alignment horizontal="left" indent="1"/>
    </xf>
    <xf numFmtId="195" fontId="23" fillId="4" borderId="0" xfId="0" applyNumberFormat="1" applyFont="1" applyFill="1" applyBorder="1"/>
    <xf numFmtId="195" fontId="23" fillId="3" borderId="0" xfId="0" applyNumberFormat="1" applyFont="1" applyFill="1" applyBorder="1"/>
    <xf numFmtId="195" fontId="21" fillId="3" borderId="0" xfId="0" applyNumberFormat="1" applyFont="1" applyFill="1" applyBorder="1"/>
    <xf numFmtId="195" fontId="21" fillId="4" borderId="0" xfId="0" applyNumberFormat="1" applyFont="1" applyFill="1" applyBorder="1"/>
    <xf numFmtId="168" fontId="25" fillId="3" borderId="0" xfId="30" applyNumberFormat="1" applyFont="1" applyFill="1" applyBorder="1" applyAlignment="1">
      <alignment horizontal="left"/>
      <protection/>
    </xf>
    <xf numFmtId="168" fontId="25" fillId="3" borderId="0" xfId="30" applyNumberFormat="1" applyFont="1" applyFill="1" applyBorder="1" applyAlignment="1">
      <alignment horizontal="left" indent="3"/>
      <protection/>
    </xf>
    <xf numFmtId="168" fontId="25" fillId="3" borderId="2" xfId="30" applyNumberFormat="1" applyFont="1" applyFill="1" applyBorder="1" applyAlignment="1">
      <alignment horizontal="left" indent="1"/>
      <protection/>
    </xf>
    <xf numFmtId="166" fontId="25" fillId="3" borderId="2" xfId="30" applyNumberFormat="1" applyFont="1" applyFill="1" applyBorder="1" applyAlignment="1">
      <alignment horizontal="left"/>
      <protection/>
    </xf>
    <xf numFmtId="170" fontId="20" fillId="3" borderId="7" xfId="26" applyNumberFormat="1" applyFont="1" applyFill="1" applyBorder="1">
      <alignment/>
      <protection/>
    </xf>
    <xf numFmtId="170" fontId="25" fillId="3" borderId="6" xfId="0" applyNumberFormat="1" applyFont="1" applyFill="1" applyBorder="1"/>
    <xf numFmtId="170" fontId="20" fillId="3" borderId="2" xfId="26" applyNumberFormat="1" applyFont="1" applyFill="1" applyBorder="1">
      <alignment/>
      <protection/>
    </xf>
    <xf numFmtId="170" fontId="25" fillId="3" borderId="1" xfId="0" applyNumberFormat="1" applyFont="1" applyFill="1" applyBorder="1"/>
    <xf numFmtId="168" fontId="31" fillId="3" borderId="7" xfId="26" applyNumberFormat="1" applyFont="1" applyFill="1" applyBorder="1" applyAlignment="1">
      <alignment horizontal="left"/>
      <protection/>
    </xf>
    <xf numFmtId="168" fontId="31" fillId="3" borderId="0" xfId="26" applyNumberFormat="1" applyFont="1" applyFill="1" applyBorder="1" applyAlignment="1">
      <alignment horizontal="left"/>
      <protection/>
    </xf>
    <xf numFmtId="168" fontId="31" fillId="3" borderId="2" xfId="26" applyNumberFormat="1" applyFont="1" applyFill="1" applyBorder="1" applyAlignment="1">
      <alignment horizontal="left"/>
      <protection/>
    </xf>
    <xf numFmtId="196" fontId="31" fillId="3" borderId="0" xfId="26" applyNumberFormat="1" applyFont="1" applyFill="1" applyBorder="1" applyAlignment="1">
      <alignment horizontal="right"/>
      <protection/>
    </xf>
    <xf numFmtId="196" fontId="26" fillId="3" borderId="0" xfId="0" applyNumberFormat="1" applyFont="1" applyFill="1" applyBorder="1" applyAlignment="1">
      <alignment horizontal="right"/>
    </xf>
    <xf numFmtId="196" fontId="26" fillId="3" borderId="17" xfId="0" applyNumberFormat="1" applyFont="1" applyFill="1" applyBorder="1" applyAlignment="1">
      <alignment horizontal="right"/>
    </xf>
    <xf numFmtId="196" fontId="26" fillId="3" borderId="4" xfId="0" applyNumberFormat="1" applyFont="1" applyFill="1" applyBorder="1" applyAlignment="1">
      <alignment horizontal="right"/>
    </xf>
    <xf numFmtId="0" fontId="31" fillId="3" borderId="0" xfId="26" applyNumberFormat="1" applyFont="1" applyFill="1" applyBorder="1" applyAlignment="1">
      <alignment horizontal="right"/>
      <protection/>
    </xf>
    <xf numFmtId="0" fontId="26" fillId="3" borderId="0" xfId="0" applyNumberFormat="1" applyFont="1" applyFill="1" applyBorder="1" applyAlignment="1">
      <alignment horizontal="right"/>
    </xf>
    <xf numFmtId="0" fontId="26" fillId="3" borderId="17" xfId="0" applyNumberFormat="1" applyFont="1" applyFill="1" applyBorder="1" applyAlignment="1">
      <alignment horizontal="right"/>
    </xf>
    <xf numFmtId="0" fontId="26" fillId="3" borderId="4" xfId="0" applyNumberFormat="1" applyFont="1" applyFill="1" applyBorder="1" applyAlignment="1">
      <alignment horizontal="right"/>
    </xf>
    <xf numFmtId="0" fontId="2" fillId="3" borderId="0" xfId="28" applyFont="1" applyFill="1">
      <alignment/>
      <protection/>
    </xf>
    <xf numFmtId="0" fontId="2" fillId="3" borderId="0" xfId="28" applyFill="1">
      <alignment/>
      <protection/>
    </xf>
    <xf numFmtId="0" fontId="12" fillId="3" borderId="0" xfId="28" applyFont="1" applyFill="1" applyAlignment="1">
      <alignment vertical="center"/>
      <protection/>
    </xf>
    <xf numFmtId="0" fontId="17" fillId="3" borderId="0" xfId="28" applyFont="1" applyFill="1" applyAlignment="1">
      <alignment vertical="center"/>
      <protection/>
    </xf>
    <xf numFmtId="0" fontId="2" fillId="3" borderId="0" xfId="28" applyFill="1" applyAlignment="1">
      <alignment vertical="center"/>
      <protection/>
    </xf>
    <xf numFmtId="0" fontId="17" fillId="3" borderId="0" xfId="28" applyFont="1" applyFill="1" applyAlignment="1">
      <alignment horizontal="center" vertical="center"/>
      <protection/>
    </xf>
    <xf numFmtId="0" fontId="12" fillId="3" borderId="0" xfId="28" applyFont="1" applyFill="1">
      <alignment/>
      <protection/>
    </xf>
    <xf numFmtId="14" fontId="12" fillId="3" borderId="0" xfId="28" applyNumberFormat="1" applyFont="1" applyFill="1" applyAlignment="1">
      <alignment horizontal="center" vertical="center"/>
      <protection/>
    </xf>
    <xf numFmtId="0" fontId="12" fillId="3" borderId="0" xfId="28" applyFont="1" applyFill="1" applyAlignment="1">
      <alignment horizontal="center"/>
      <protection/>
    </xf>
    <xf numFmtId="0" fontId="16" fillId="3" borderId="0" xfId="28" applyFont="1" applyFill="1">
      <alignment/>
      <protection/>
    </xf>
    <xf numFmtId="0" fontId="15" fillId="3" borderId="0" xfId="28" applyFont="1" applyFill="1">
      <alignment/>
      <protection/>
    </xf>
    <xf numFmtId="0" fontId="2" fillId="3" borderId="0" xfId="28" applyFont="1" applyFill="1" applyAlignment="1">
      <alignment vertical="center"/>
      <protection/>
    </xf>
    <xf numFmtId="0" fontId="30" fillId="3" borderId="0" xfId="28" applyFont="1" applyFill="1" applyAlignment="1">
      <alignment horizontal="center"/>
      <protection/>
    </xf>
    <xf numFmtId="1" fontId="15" fillId="3" borderId="0" xfId="28" applyNumberFormat="1" applyFont="1" applyFill="1" applyAlignment="1">
      <alignment horizontal="center"/>
      <protection/>
    </xf>
    <xf numFmtId="0" fontId="16" fillId="3" borderId="0" xfId="28" applyFont="1" applyFill="1" quotePrefix="1">
      <alignment/>
      <protection/>
    </xf>
    <xf numFmtId="0" fontId="17" fillId="3" borderId="0" xfId="28" applyFont="1" applyFill="1">
      <alignment/>
      <protection/>
    </xf>
    <xf numFmtId="191" fontId="15" fillId="3" borderId="0" xfId="28" applyNumberFormat="1" applyFont="1" applyFill="1">
      <alignment/>
      <protection/>
    </xf>
    <xf numFmtId="189" fontId="17" fillId="3" borderId="0" xfId="28" applyNumberFormat="1" applyFont="1" applyFill="1" applyAlignment="1">
      <alignment horizontal="center" vertical="center"/>
      <protection/>
    </xf>
    <xf numFmtId="183" fontId="3" fillId="3" borderId="0" xfId="28" applyNumberFormat="1" applyFont="1" applyFill="1" applyAlignment="1">
      <alignment horizontal="right"/>
      <protection/>
    </xf>
    <xf numFmtId="184" fontId="3" fillId="3" borderId="0" xfId="28" applyNumberFormat="1" applyFont="1" applyFill="1" applyAlignment="1">
      <alignment horizontal="right"/>
      <protection/>
    </xf>
    <xf numFmtId="14" fontId="8" fillId="3" borderId="30" xfId="28" applyNumberFormat="1" applyFont="1" applyFill="1" applyBorder="1" applyAlignment="1">
      <alignment horizontal="center"/>
      <protection/>
    </xf>
    <xf numFmtId="0" fontId="8" fillId="3" borderId="30" xfId="28" applyFont="1" applyFill="1" applyBorder="1" applyAlignment="1">
      <alignment horizontal="center"/>
      <protection/>
    </xf>
    <xf numFmtId="0" fontId="2" fillId="3" borderId="30" xfId="28" applyFont="1" applyFill="1" applyBorder="1" applyAlignment="1">
      <alignment horizontal="center"/>
      <protection/>
    </xf>
    <xf numFmtId="0" fontId="8" fillId="3" borderId="30" xfId="28" applyFont="1" applyFill="1" applyBorder="1" applyAlignment="1">
      <alignment horizontal="left"/>
      <protection/>
    </xf>
    <xf numFmtId="0" fontId="4" fillId="3" borderId="31" xfId="24" applyFill="1" applyBorder="1">
      <alignment/>
      <protection/>
    </xf>
    <xf numFmtId="0" fontId="4" fillId="3" borderId="25" xfId="24" applyFill="1" applyBorder="1">
      <alignment/>
      <protection/>
    </xf>
    <xf numFmtId="0" fontId="4" fillId="3" borderId="30" xfId="24" applyFill="1" applyBorder="1">
      <alignment/>
      <protection/>
    </xf>
    <xf numFmtId="14" fontId="8" fillId="3" borderId="32" xfId="28" applyNumberFormat="1" applyFont="1" applyFill="1" applyBorder="1" applyAlignment="1">
      <alignment horizontal="center"/>
      <protection/>
    </xf>
    <xf numFmtId="0" fontId="8" fillId="3" borderId="31" xfId="28" applyFont="1" applyFill="1" applyBorder="1" applyAlignment="1">
      <alignment horizontal="center"/>
      <protection/>
    </xf>
    <xf numFmtId="0" fontId="2" fillId="3" borderId="31" xfId="28" applyFont="1" applyFill="1" applyBorder="1" applyAlignment="1">
      <alignment horizontal="center"/>
      <protection/>
    </xf>
    <xf numFmtId="0" fontId="8" fillId="3" borderId="31" xfId="28" applyFont="1" applyFill="1" applyBorder="1" applyAlignment="1">
      <alignment horizontal="left"/>
      <protection/>
    </xf>
    <xf numFmtId="0" fontId="4" fillId="3" borderId="33" xfId="24" applyFill="1" applyBorder="1">
      <alignment/>
      <protection/>
    </xf>
    <xf numFmtId="0" fontId="4" fillId="3" borderId="34" xfId="24" applyFill="1" applyBorder="1" applyAlignment="1">
      <alignment horizontal="left"/>
      <protection/>
    </xf>
    <xf numFmtId="14" fontId="8" fillId="3" borderId="25" xfId="28" applyNumberFormat="1" applyFont="1" applyFill="1" applyBorder="1" applyAlignment="1">
      <alignment horizontal="center"/>
      <protection/>
    </xf>
    <xf numFmtId="0" fontId="8" fillId="3" borderId="25" xfId="28" applyFont="1" applyFill="1" applyBorder="1" applyAlignment="1">
      <alignment horizontal="center"/>
      <protection/>
    </xf>
    <xf numFmtId="0" fontId="2" fillId="3" borderId="25" xfId="28" applyFont="1" applyFill="1" applyBorder="1" applyAlignment="1">
      <alignment horizontal="center"/>
      <protection/>
    </xf>
    <xf numFmtId="0" fontId="8" fillId="3" borderId="25" xfId="28" applyFont="1" applyFill="1" applyBorder="1" applyAlignment="1">
      <alignment horizontal="left"/>
      <protection/>
    </xf>
    <xf numFmtId="0" fontId="4" fillId="3" borderId="25" xfId="24" applyFill="1" applyBorder="1" applyAlignment="1">
      <alignment horizontal="left"/>
      <protection/>
    </xf>
    <xf numFmtId="0" fontId="4" fillId="3" borderId="30" xfId="24" applyFill="1" applyBorder="1" applyAlignment="1">
      <alignment horizontal="left"/>
      <protection/>
    </xf>
    <xf numFmtId="14" fontId="12" fillId="7" borderId="0" xfId="28" applyNumberFormat="1" applyFont="1" applyFill="1" applyAlignment="1">
      <alignment horizontal="center" vertical="center"/>
      <protection/>
    </xf>
    <xf numFmtId="0" fontId="18" fillId="7" borderId="0" xfId="28" applyFont="1" applyFill="1" applyAlignment="1">
      <alignment horizontal="center" vertical="center"/>
      <protection/>
    </xf>
    <xf numFmtId="1" fontId="48" fillId="8" borderId="0" xfId="28" applyNumberFormat="1" applyFont="1" applyFill="1" applyAlignment="1">
      <alignment horizontal="center" vertical="center"/>
      <protection/>
    </xf>
    <xf numFmtId="166" fontId="48" fillId="8" borderId="0" xfId="16" applyNumberFormat="1" applyFont="1" applyFill="1" applyAlignment="1">
      <alignment horizontal="center" vertical="center"/>
      <protection/>
    </xf>
    <xf numFmtId="0" fontId="31" fillId="3" borderId="30" xfId="28" applyFont="1" applyFill="1" applyBorder="1" applyAlignment="1">
      <alignment horizontal="center"/>
      <protection/>
    </xf>
    <xf numFmtId="0" fontId="31" fillId="3" borderId="21" xfId="28" applyFont="1" applyFill="1" applyBorder="1" applyAlignment="1">
      <alignment horizontal="left"/>
      <protection/>
    </xf>
    <xf numFmtId="195" fontId="19" fillId="3" borderId="0" xfId="0" applyNumberFormat="1" applyFont="1" applyFill="1" applyBorder="1"/>
    <xf numFmtId="170" fontId="28" fillId="4" borderId="2" xfId="0" applyNumberFormat="1" applyFont="1" applyFill="1" applyBorder="1"/>
    <xf numFmtId="171" fontId="25" fillId="3" borderId="17" xfId="0" applyNumberFormat="1" applyFont="1" applyFill="1" applyBorder="1"/>
    <xf numFmtId="1" fontId="7" fillId="3" borderId="17" xfId="0" applyNumberFormat="1" applyFont="1" applyFill="1" applyBorder="1" applyAlignment="1">
      <alignment horizontal="center"/>
    </xf>
    <xf numFmtId="171" fontId="0" fillId="3" borderId="17" xfId="0" applyNumberFormat="1" applyFont="1" applyFill="1" applyBorder="1" applyAlignment="1">
      <alignment horizontal="right"/>
    </xf>
    <xf numFmtId="171" fontId="0" fillId="3" borderId="20" xfId="0" applyNumberFormat="1" applyFont="1" applyFill="1" applyBorder="1" applyAlignment="1">
      <alignment horizontal="right"/>
    </xf>
    <xf numFmtId="171" fontId="7" fillId="3" borderId="29" xfId="0" applyNumberFormat="1" applyFont="1" applyFill="1" applyBorder="1" applyAlignment="1">
      <alignment horizontal="right"/>
    </xf>
    <xf numFmtId="171" fontId="7" fillId="3" borderId="17" xfId="0" applyNumberFormat="1" applyFont="1" applyFill="1" applyBorder="1" applyAlignment="1">
      <alignment horizontal="right"/>
    </xf>
    <xf numFmtId="171" fontId="25" fillId="3" borderId="17" xfId="0" applyNumberFormat="1" applyFont="1" applyFill="1" applyBorder="1" applyAlignment="1">
      <alignment horizontal="right"/>
    </xf>
    <xf numFmtId="170" fontId="0" fillId="3" borderId="35" xfId="0" applyNumberFormat="1" applyFont="1" applyFill="1" applyBorder="1"/>
    <xf numFmtId="170" fontId="7" fillId="3" borderId="29" xfId="0" applyNumberFormat="1" applyFont="1" applyFill="1" applyBorder="1"/>
    <xf numFmtId="170" fontId="0" fillId="3" borderId="17" xfId="0" applyNumberFormat="1" applyFont="1" applyFill="1" applyBorder="1"/>
    <xf numFmtId="170" fontId="0" fillId="3" borderId="20" xfId="0" applyNumberFormat="1" applyFont="1" applyFill="1" applyBorder="1"/>
    <xf numFmtId="170" fontId="7" fillId="3" borderId="29" xfId="0" applyNumberFormat="1" applyFont="1" applyFill="1" applyBorder="1" applyAlignment="1">
      <alignment horizontal="right"/>
    </xf>
    <xf numFmtId="170" fontId="0" fillId="3" borderId="35" xfId="0" applyNumberFormat="1" applyFont="1" applyFill="1" applyBorder="1" applyAlignment="1">
      <alignment horizontal="right"/>
    </xf>
    <xf numFmtId="170" fontId="23" fillId="3" borderId="17" xfId="0" applyNumberFormat="1" applyFont="1" applyFill="1" applyBorder="1"/>
    <xf numFmtId="170" fontId="0" fillId="3" borderId="29" xfId="0" applyNumberFormat="1" applyFont="1" applyFill="1" applyBorder="1"/>
    <xf numFmtId="171" fontId="0" fillId="3" borderId="17" xfId="0" applyNumberFormat="1" applyFont="1" applyFill="1" applyBorder="1"/>
    <xf numFmtId="171" fontId="0" fillId="3" borderId="20" xfId="0" applyNumberFormat="1" applyFont="1" applyFill="1" applyBorder="1"/>
    <xf numFmtId="171" fontId="7" fillId="3" borderId="29" xfId="0" applyNumberFormat="1" applyFont="1" applyFill="1" applyBorder="1"/>
    <xf numFmtId="171" fontId="26" fillId="3" borderId="17" xfId="0" applyNumberFormat="1" applyFont="1" applyFill="1" applyBorder="1"/>
    <xf numFmtId="171" fontId="25" fillId="3" borderId="29" xfId="0" applyNumberFormat="1" applyFont="1" applyFill="1" applyBorder="1"/>
    <xf numFmtId="171" fontId="7" fillId="3" borderId="17" xfId="0" applyNumberFormat="1" applyFont="1" applyFill="1" applyBorder="1"/>
    <xf numFmtId="171" fontId="23" fillId="3" borderId="17" xfId="0" applyNumberFormat="1" applyFont="1" applyFill="1" applyBorder="1"/>
    <xf numFmtId="170" fontId="7" fillId="3" borderId="17" xfId="0" applyNumberFormat="1" applyFont="1" applyFill="1" applyBorder="1"/>
    <xf numFmtId="171" fontId="19" fillId="3" borderId="17" xfId="0" applyNumberFormat="1" applyFont="1" applyFill="1" applyBorder="1"/>
    <xf numFmtId="181" fontId="7" fillId="3" borderId="29" xfId="0" applyNumberFormat="1" applyFont="1" applyFill="1" applyBorder="1"/>
    <xf numFmtId="170" fontId="27" fillId="3" borderId="29" xfId="0" applyNumberFormat="1" applyFont="1" applyFill="1" applyBorder="1"/>
    <xf numFmtId="170" fontId="27" fillId="3" borderId="17" xfId="0" applyNumberFormat="1" applyFont="1" applyFill="1" applyBorder="1"/>
    <xf numFmtId="170" fontId="25" fillId="3" borderId="35" xfId="0" applyNumberFormat="1" applyFont="1" applyFill="1" applyBorder="1"/>
    <xf numFmtId="171" fontId="23" fillId="3" borderId="20" xfId="0" applyNumberFormat="1" applyFont="1" applyFill="1" applyBorder="1"/>
    <xf numFmtId="194" fontId="25" fillId="3" borderId="17" xfId="0" applyNumberFormat="1" applyFont="1" applyFill="1" applyBorder="1"/>
    <xf numFmtId="173" fontId="26" fillId="3" borderId="17" xfId="16" applyNumberFormat="1" applyFont="1" applyFill="1" applyBorder="1">
      <alignment/>
      <protection/>
    </xf>
    <xf numFmtId="181" fontId="7" fillId="3" borderId="17" xfId="0" applyNumberFormat="1" applyFont="1" applyFill="1" applyBorder="1"/>
    <xf numFmtId="181" fontId="23" fillId="3" borderId="17" xfId="0" applyNumberFormat="1" applyFont="1" applyFill="1" applyBorder="1"/>
    <xf numFmtId="0" fontId="25" fillId="3" borderId="17" xfId="0" applyNumberFormat="1" applyFont="1" applyFill="1" applyBorder="1"/>
    <xf numFmtId="174" fontId="25" fillId="3" borderId="17" xfId="0" applyNumberFormat="1" applyFont="1" applyFill="1" applyBorder="1"/>
    <xf numFmtId="170" fontId="26" fillId="3" borderId="29" xfId="0" applyNumberFormat="1" applyFont="1" applyFill="1" applyBorder="1"/>
    <xf numFmtId="17" fontId="35" fillId="3" borderId="17" xfId="30" applyNumberFormat="1" applyFont="1" applyFill="1" applyBorder="1" applyAlignment="1">
      <alignment horizontal="center"/>
      <protection/>
    </xf>
    <xf numFmtId="168" fontId="31" fillId="3" borderId="17" xfId="30" applyNumberFormat="1" applyFont="1" applyFill="1" applyBorder="1" applyAlignment="1">
      <alignment horizontal="center"/>
      <protection/>
    </xf>
    <xf numFmtId="166" fontId="26" fillId="3" borderId="17" xfId="30" applyNumberFormat="1" applyFont="1" applyFill="1" applyBorder="1" applyAlignment="1">
      <alignment horizontal="right"/>
      <protection/>
    </xf>
    <xf numFmtId="170" fontId="26" fillId="3" borderId="17" xfId="30" applyNumberFormat="1" applyFont="1" applyFill="1" applyBorder="1">
      <alignment/>
      <protection/>
    </xf>
    <xf numFmtId="170" fontId="25" fillId="3" borderId="17" xfId="30" applyNumberFormat="1" applyFont="1" applyFill="1" applyBorder="1">
      <alignment/>
      <protection/>
    </xf>
    <xf numFmtId="170" fontId="25" fillId="3" borderId="20" xfId="30" applyNumberFormat="1" applyFont="1" applyFill="1" applyBorder="1">
      <alignment/>
      <protection/>
    </xf>
    <xf numFmtId="170" fontId="26" fillId="3" borderId="29" xfId="30" applyNumberFormat="1" applyFont="1" applyFill="1" applyBorder="1">
      <alignment/>
      <protection/>
    </xf>
    <xf numFmtId="171" fontId="25" fillId="3" borderId="17" xfId="30" applyNumberFormat="1" applyFont="1" applyFill="1" applyBorder="1">
      <alignment/>
      <protection/>
    </xf>
    <xf numFmtId="171" fontId="25" fillId="3" borderId="20" xfId="30" applyNumberFormat="1" applyFont="1" applyFill="1" applyBorder="1">
      <alignment/>
      <protection/>
    </xf>
    <xf numFmtId="171" fontId="26" fillId="3" borderId="29" xfId="30" applyNumberFormat="1" applyFont="1" applyFill="1" applyBorder="1">
      <alignment/>
      <protection/>
    </xf>
    <xf numFmtId="171" fontId="26" fillId="3" borderId="17" xfId="30" applyNumberFormat="1" applyFont="1" applyFill="1" applyBorder="1">
      <alignment/>
      <protection/>
    </xf>
    <xf numFmtId="173" fontId="26" fillId="3" borderId="17" xfId="30" applyNumberFormat="1" applyFont="1" applyFill="1" applyBorder="1">
      <alignment/>
      <protection/>
    </xf>
    <xf numFmtId="171" fontId="26" fillId="3" borderId="17" xfId="30" applyNumberFormat="1" applyFont="1" applyFill="1" applyBorder="1" applyAlignment="1">
      <alignment horizontal="center"/>
      <protection/>
    </xf>
    <xf numFmtId="166" fontId="26" fillId="3" borderId="17" xfId="30" applyNumberFormat="1" applyFont="1" applyFill="1" applyBorder="1" applyAlignment="1">
      <alignment horizontal="center"/>
      <protection/>
    </xf>
    <xf numFmtId="171" fontId="25" fillId="3" borderId="17" xfId="30" applyNumberFormat="1" applyFont="1" applyFill="1" applyBorder="1" applyAlignment="1">
      <alignment horizontal="center"/>
      <protection/>
    </xf>
    <xf numFmtId="181" fontId="26" fillId="3" borderId="17" xfId="30" applyNumberFormat="1" applyFont="1" applyFill="1" applyBorder="1" applyAlignment="1">
      <alignment horizontal="right"/>
      <protection/>
    </xf>
    <xf numFmtId="170" fontId="25" fillId="3" borderId="17" xfId="30" applyNumberFormat="1" applyFont="1" applyFill="1" applyBorder="1" applyAlignment="1">
      <alignment horizontal="right"/>
      <protection/>
    </xf>
    <xf numFmtId="170" fontId="25" fillId="3" borderId="20" xfId="30" applyNumberFormat="1" applyFont="1" applyFill="1" applyBorder="1" applyAlignment="1">
      <alignment horizontal="right"/>
      <protection/>
    </xf>
    <xf numFmtId="170" fontId="26" fillId="3" borderId="29" xfId="30" applyNumberFormat="1" applyFont="1" applyFill="1" applyBorder="1" applyAlignment="1">
      <alignment horizontal="right"/>
      <protection/>
    </xf>
    <xf numFmtId="171" fontId="25" fillId="3" borderId="17" xfId="30" applyNumberFormat="1" applyFont="1" applyFill="1" applyBorder="1" applyAlignment="1">
      <alignment horizontal="right"/>
      <protection/>
    </xf>
    <xf numFmtId="174" fontId="25" fillId="3" borderId="17" xfId="30" applyNumberFormat="1" applyFont="1" applyFill="1" applyBorder="1">
      <alignment/>
      <protection/>
    </xf>
    <xf numFmtId="170" fontId="23" fillId="3" borderId="0" xfId="0" applyNumberFormat="1" applyFont="1" applyFill="1" applyAlignment="1">
      <alignment horizontal="right"/>
    </xf>
    <xf numFmtId="170" fontId="23" fillId="4" borderId="0" xfId="0" applyNumberFormat="1" applyFont="1" applyFill="1" applyAlignment="1">
      <alignment horizontal="right"/>
    </xf>
    <xf numFmtId="170" fontId="23" fillId="4" borderId="0" xfId="0" applyNumberFormat="1" applyFont="1" applyFill="1" applyBorder="1" applyAlignment="1">
      <alignment horizontal="right"/>
    </xf>
    <xf numFmtId="171" fontId="23" fillId="3" borderId="0" xfId="0" applyNumberFormat="1" applyFont="1" applyFill="1" applyAlignment="1">
      <alignment horizontal="right"/>
    </xf>
    <xf numFmtId="173" fontId="23" fillId="3" borderId="0" xfId="0" applyNumberFormat="1" applyFont="1" applyFill="1" applyAlignment="1">
      <alignment horizontal="right"/>
    </xf>
    <xf numFmtId="181" fontId="23" fillId="3" borderId="0" xfId="0" applyNumberFormat="1" applyFont="1" applyFill="1" applyAlignment="1">
      <alignment horizontal="right"/>
    </xf>
    <xf numFmtId="0" fontId="12" fillId="0" borderId="0" xfId="28" applyFont="1">
      <alignment/>
      <protection/>
    </xf>
    <xf numFmtId="0" fontId="49" fillId="3" borderId="0" xfId="24" applyFont="1" applyFill="1">
      <alignment/>
      <protection/>
    </xf>
    <xf numFmtId="197" fontId="20" fillId="3" borderId="22" xfId="26" applyNumberFormat="1" applyFont="1" applyFill="1" applyBorder="1" applyAlignment="1">
      <alignment horizontal="left" indent="1"/>
      <protection/>
    </xf>
    <xf numFmtId="0" fontId="23" fillId="3" borderId="17" xfId="0" applyFont="1" applyFill="1" applyBorder="1"/>
    <xf numFmtId="170" fontId="8" fillId="3" borderId="17" xfId="16" applyNumberFormat="1" applyFont="1" applyFill="1" applyBorder="1">
      <alignment/>
      <protection/>
    </xf>
    <xf numFmtId="170" fontId="8" fillId="3" borderId="20" xfId="16" applyNumberFormat="1" applyFont="1" applyFill="1" applyBorder="1">
      <alignment/>
      <protection/>
    </xf>
    <xf numFmtId="170" fontId="6" fillId="3" borderId="17" xfId="16" applyNumberFormat="1" applyFont="1" applyFill="1" applyBorder="1">
      <alignment/>
      <protection/>
    </xf>
    <xf numFmtId="171" fontId="29" fillId="3" borderId="17" xfId="16" applyNumberFormat="1" applyFont="1" applyFill="1" applyBorder="1">
      <alignment/>
      <protection/>
    </xf>
    <xf numFmtId="173" fontId="26" fillId="3" borderId="17" xfId="0" applyNumberFormat="1" applyFont="1" applyFill="1" applyBorder="1"/>
    <xf numFmtId="0" fontId="20" fillId="0" borderId="0" xfId="28" applyFont="1">
      <alignment/>
      <protection/>
    </xf>
    <xf numFmtId="17" fontId="2" fillId="3" borderId="17" xfId="0" applyNumberFormat="1" applyFont="1" applyFill="1" applyBorder="1" applyAlignment="1">
      <alignment horizontal="center"/>
    </xf>
    <xf numFmtId="0" fontId="6" fillId="3" borderId="17" xfId="0" applyFont="1" applyFill="1" applyBorder="1" applyAlignment="1">
      <alignment horizontal="center"/>
    </xf>
    <xf numFmtId="181" fontId="0" fillId="3" borderId="17" xfId="0" applyNumberFormat="1" applyFont="1" applyFill="1" applyBorder="1"/>
    <xf numFmtId="173" fontId="23" fillId="3" borderId="17" xfId="0" applyNumberFormat="1" applyFont="1" applyFill="1" applyBorder="1"/>
    <xf numFmtId="195" fontId="23" fillId="3" borderId="17" xfId="0" applyNumberFormat="1" applyFont="1" applyFill="1" applyBorder="1"/>
    <xf numFmtId="171" fontId="19" fillId="3" borderId="17" xfId="16" applyNumberFormat="1" applyFont="1" applyFill="1" applyBorder="1">
      <alignment/>
      <protection/>
    </xf>
    <xf numFmtId="166" fontId="7" fillId="3" borderId="17" xfId="0" applyNumberFormat="1" applyFont="1" applyFill="1" applyBorder="1" applyAlignment="1">
      <alignment horizontal="right"/>
    </xf>
    <xf numFmtId="187" fontId="0" fillId="3" borderId="17" xfId="0" applyNumberFormat="1" applyFont="1" applyFill="1" applyBorder="1" applyAlignment="1">
      <alignment horizontal="right"/>
    </xf>
    <xf numFmtId="192" fontId="0" fillId="3" borderId="17" xfId="0" applyNumberFormat="1" applyFont="1" applyFill="1" applyBorder="1" applyAlignment="1">
      <alignment horizontal="right"/>
    </xf>
    <xf numFmtId="188" fontId="0" fillId="3" borderId="17" xfId="0" applyNumberFormat="1" applyFont="1" applyFill="1" applyBorder="1" applyAlignment="1">
      <alignment horizontal="right"/>
    </xf>
    <xf numFmtId="192" fontId="25" fillId="3" borderId="17" xfId="0" applyNumberFormat="1" applyFont="1" applyFill="1" applyBorder="1"/>
    <xf numFmtId="168" fontId="22" fillId="5" borderId="0" xfId="0" applyNumberFormat="1" applyFont="1" applyFill="1" applyBorder="1"/>
    <xf numFmtId="168" fontId="22" fillId="5" borderId="0" xfId="0" applyNumberFormat="1" applyFont="1" applyFill="1"/>
    <xf numFmtId="168" fontId="25" fillId="3" borderId="0" xfId="0" applyNumberFormat="1" applyFont="1" applyFill="1" applyBorder="1"/>
    <xf numFmtId="168" fontId="25" fillId="3" borderId="17" xfId="0" applyNumberFormat="1" applyFont="1" applyFill="1" applyBorder="1"/>
    <xf numFmtId="168" fontId="25" fillId="3" borderId="0" xfId="0" applyNumberFormat="1" applyFont="1" applyFill="1"/>
    <xf numFmtId="168" fontId="32" fillId="5" borderId="0" xfId="0" applyNumberFormat="1" applyFont="1" applyFill="1" applyBorder="1"/>
    <xf numFmtId="168" fontId="32" fillId="5" borderId="17" xfId="0" applyNumberFormat="1" applyFont="1" applyFill="1" applyBorder="1"/>
    <xf numFmtId="168" fontId="32" fillId="5" borderId="0" xfId="0" applyNumberFormat="1" applyFont="1" applyFill="1"/>
    <xf numFmtId="168" fontId="33" fillId="5" borderId="0" xfId="30" applyNumberFormat="1" applyFont="1" applyFill="1">
      <alignment/>
      <protection/>
    </xf>
    <xf numFmtId="168" fontId="25" fillId="3" borderId="0" xfId="30" applyNumberFormat="1" applyFont="1" applyFill="1">
      <alignment/>
      <protection/>
    </xf>
    <xf numFmtId="168" fontId="26" fillId="3" borderId="0" xfId="30" applyNumberFormat="1" applyFont="1" applyFill="1">
      <alignment/>
      <protection/>
    </xf>
    <xf numFmtId="170" fontId="0" fillId="3" borderId="17" xfId="0" applyNumberFormat="1" applyFont="1" applyFill="1" applyBorder="1" applyAlignment="1">
      <alignment horizontal="right"/>
    </xf>
    <xf numFmtId="170" fontId="0" fillId="3" borderId="20" xfId="0" applyNumberFormat="1" applyFont="1" applyFill="1" applyBorder="1" applyAlignment="1">
      <alignment horizontal="right"/>
    </xf>
    <xf numFmtId="170" fontId="28" fillId="3" borderId="17" xfId="0" applyNumberFormat="1" applyFont="1" applyFill="1" applyBorder="1"/>
    <xf numFmtId="170" fontId="7" fillId="3" borderId="35" xfId="0" applyNumberFormat="1" applyFont="1" applyFill="1" applyBorder="1"/>
    <xf numFmtId="173" fontId="7" fillId="3" borderId="17" xfId="0" applyNumberFormat="1" applyFont="1" applyFill="1" applyBorder="1"/>
    <xf numFmtId="176" fontId="26" fillId="3" borderId="17" xfId="16" applyNumberFormat="1" applyFont="1" applyFill="1" applyBorder="1">
      <alignment/>
      <protection/>
    </xf>
    <xf numFmtId="168" fontId="22" fillId="5" borderId="0" xfId="0" applyNumberFormat="1" applyFont="1" applyFill="1" applyBorder="1"/>
    <xf numFmtId="168" fontId="22" fillId="5" borderId="17" xfId="0" applyNumberFormat="1" applyFont="1" applyFill="1" applyBorder="1"/>
    <xf numFmtId="168" fontId="22" fillId="5" borderId="0" xfId="0" applyNumberFormat="1" applyFont="1" applyFill="1"/>
    <xf numFmtId="168" fontId="25" fillId="4" borderId="0" xfId="0" applyNumberFormat="1" applyFont="1" applyFill="1" applyBorder="1"/>
    <xf numFmtId="168" fontId="25" fillId="3" borderId="0" xfId="0" applyNumberFormat="1" applyFont="1" applyFill="1" applyBorder="1"/>
    <xf numFmtId="168" fontId="25" fillId="3" borderId="17" xfId="0" applyNumberFormat="1" applyFont="1" applyFill="1" applyBorder="1"/>
    <xf numFmtId="168" fontId="25" fillId="3" borderId="0" xfId="0" applyNumberFormat="1" applyFont="1" applyFill="1"/>
    <xf numFmtId="168" fontId="25" fillId="4" borderId="0" xfId="0" applyNumberFormat="1" applyFont="1" applyFill="1"/>
    <xf numFmtId="168" fontId="26" fillId="4" borderId="0" xfId="0" applyNumberFormat="1" applyFont="1" applyFill="1" applyBorder="1"/>
    <xf numFmtId="168" fontId="26" fillId="3" borderId="0" xfId="0" applyNumberFormat="1" applyFont="1" applyFill="1" applyBorder="1"/>
    <xf numFmtId="168" fontId="26" fillId="3" borderId="17" xfId="0" applyNumberFormat="1" applyFont="1" applyFill="1" applyBorder="1"/>
    <xf numFmtId="168" fontId="26" fillId="3" borderId="0" xfId="0" applyNumberFormat="1" applyFont="1" applyFill="1"/>
    <xf numFmtId="168" fontId="26" fillId="4" borderId="0" xfId="0" applyNumberFormat="1" applyFont="1" applyFill="1"/>
    <xf numFmtId="168" fontId="23" fillId="4" borderId="7" xfId="0" applyNumberFormat="1" applyFont="1" applyFill="1" applyBorder="1"/>
    <xf numFmtId="168" fontId="23" fillId="3" borderId="7" xfId="0" applyNumberFormat="1" applyFont="1" applyFill="1" applyBorder="1"/>
    <xf numFmtId="168" fontId="23" fillId="3" borderId="29" xfId="0" applyNumberFormat="1" applyFont="1" applyFill="1" applyBorder="1"/>
    <xf numFmtId="168" fontId="0" fillId="3" borderId="0" xfId="0" applyNumberFormat="1" applyFont="1" applyFill="1" applyBorder="1"/>
    <xf numFmtId="168" fontId="0" fillId="4" borderId="0" xfId="0" applyNumberFormat="1" applyFont="1" applyFill="1" applyBorder="1"/>
    <xf numFmtId="168" fontId="0" fillId="3" borderId="17" xfId="0" applyNumberFormat="1" applyFont="1" applyFill="1" applyBorder="1"/>
    <xf numFmtId="168" fontId="23" fillId="4" borderId="0" xfId="0" applyNumberFormat="1" applyFont="1" applyFill="1" applyBorder="1"/>
    <xf numFmtId="168" fontId="23" fillId="3" borderId="0" xfId="0" applyNumberFormat="1" applyFont="1" applyFill="1" applyBorder="1"/>
    <xf numFmtId="168" fontId="29" fillId="3" borderId="0" xfId="16" applyNumberFormat="1" applyFont="1" applyFill="1" applyBorder="1">
      <alignment/>
      <protection/>
    </xf>
    <xf numFmtId="168" fontId="29" fillId="3" borderId="17" xfId="16" applyNumberFormat="1" applyFont="1" applyFill="1" applyBorder="1">
      <alignment/>
      <protection/>
    </xf>
    <xf numFmtId="168" fontId="29" fillId="3" borderId="0" xfId="16" applyNumberFormat="1" applyFont="1" applyFill="1">
      <alignment/>
      <protection/>
    </xf>
    <xf numFmtId="168" fontId="23" fillId="4" borderId="0" xfId="0" applyNumberFormat="1" applyFont="1" applyFill="1" applyAlignment="1">
      <alignment horizontal="right"/>
    </xf>
    <xf numFmtId="168" fontId="23" fillId="4" borderId="0" xfId="0" applyNumberFormat="1" applyFont="1" applyFill="1" applyBorder="1" applyAlignment="1">
      <alignment horizontal="right"/>
    </xf>
    <xf numFmtId="168" fontId="32" fillId="5" borderId="0" xfId="0" applyNumberFormat="1" applyFont="1" applyFill="1" applyBorder="1"/>
    <xf numFmtId="168" fontId="32" fillId="5" borderId="17" xfId="0" applyNumberFormat="1" applyFont="1" applyFill="1" applyBorder="1"/>
    <xf numFmtId="168" fontId="32" fillId="5" borderId="0" xfId="0" applyNumberFormat="1" applyFont="1" applyFill="1"/>
    <xf numFmtId="168" fontId="20" fillId="2" borderId="0" xfId="23" applyNumberFormat="1" applyFont="1" applyFill="1" applyBorder="1" applyAlignment="1">
      <alignment horizontal="right"/>
      <protection/>
    </xf>
    <xf numFmtId="168" fontId="20" fillId="2" borderId="17" xfId="23" applyNumberFormat="1" applyFont="1" applyFill="1" applyBorder="1" applyAlignment="1">
      <alignment horizontal="right"/>
      <protection/>
    </xf>
    <xf numFmtId="168" fontId="20" fillId="2" borderId="0" xfId="23" applyNumberFormat="1" applyFont="1" applyFill="1" applyAlignment="1">
      <alignment horizontal="right"/>
      <protection/>
    </xf>
    <xf numFmtId="168" fontId="26" fillId="3" borderId="8" xfId="0" applyNumberFormat="1" applyFont="1" applyFill="1" applyBorder="1"/>
    <xf numFmtId="168" fontId="26" fillId="3" borderId="7" xfId="0" applyNumberFormat="1" applyFont="1" applyFill="1" applyBorder="1"/>
    <xf numFmtId="168" fontId="26" fillId="3" borderId="29" xfId="0" applyNumberFormat="1" applyFont="1" applyFill="1" applyBorder="1"/>
    <xf numFmtId="168" fontId="26" fillId="3" borderId="6" xfId="0" applyNumberFormat="1" applyFont="1" applyFill="1" applyBorder="1"/>
    <xf numFmtId="168" fontId="26" fillId="3" borderId="5" xfId="0" applyNumberFormat="1" applyFont="1" applyFill="1" applyBorder="1"/>
    <xf numFmtId="168" fontId="26" fillId="3" borderId="4" xfId="0" applyNumberFormat="1" applyFont="1" applyFill="1" applyBorder="1"/>
    <xf numFmtId="168" fontId="25" fillId="4" borderId="2" xfId="30" applyNumberFormat="1" applyFont="1" applyFill="1" applyBorder="1" applyAlignment="1">
      <alignment horizontal="right"/>
      <protection/>
    </xf>
    <xf numFmtId="168" fontId="25" fillId="3" borderId="2" xfId="30" applyNumberFormat="1" applyFont="1" applyFill="1" applyBorder="1" applyAlignment="1">
      <alignment horizontal="right"/>
      <protection/>
    </xf>
    <xf numFmtId="168" fontId="25" fillId="4" borderId="2" xfId="30" applyNumberFormat="1" applyFont="1" applyFill="1" applyBorder="1">
      <alignment/>
      <protection/>
    </xf>
    <xf numFmtId="168" fontId="25" fillId="3" borderId="20" xfId="30" applyNumberFormat="1" applyFont="1" applyFill="1" applyBorder="1" applyAlignment="1">
      <alignment horizontal="right"/>
      <protection/>
    </xf>
    <xf numFmtId="168" fontId="26" fillId="4" borderId="7" xfId="30" applyNumberFormat="1" applyFont="1" applyFill="1" applyBorder="1">
      <alignment/>
      <protection/>
    </xf>
    <xf numFmtId="168" fontId="26" fillId="3" borderId="7" xfId="30" applyNumberFormat="1" applyFont="1" applyFill="1" applyBorder="1">
      <alignment/>
      <protection/>
    </xf>
    <xf numFmtId="168" fontId="26" fillId="3" borderId="29" xfId="30" applyNumberFormat="1" applyFont="1" applyFill="1" applyBorder="1">
      <alignment/>
      <protection/>
    </xf>
    <xf numFmtId="168" fontId="33" fillId="5" borderId="0" xfId="30" applyNumberFormat="1" applyFont="1" applyFill="1" applyBorder="1">
      <alignment/>
      <protection/>
    </xf>
    <xf numFmtId="168" fontId="33" fillId="5" borderId="17" xfId="30" applyNumberFormat="1" applyFont="1" applyFill="1" applyBorder="1">
      <alignment/>
      <protection/>
    </xf>
    <xf numFmtId="168" fontId="33" fillId="5" borderId="0" xfId="30" applyNumberFormat="1" applyFont="1" applyFill="1">
      <alignment/>
      <protection/>
    </xf>
    <xf numFmtId="168" fontId="25" fillId="4" borderId="0" xfId="30" applyNumberFormat="1" applyFont="1" applyFill="1" applyBorder="1">
      <alignment/>
      <protection/>
    </xf>
    <xf numFmtId="168" fontId="25" fillId="3" borderId="0" xfId="30" applyNumberFormat="1" applyFont="1" applyFill="1" applyBorder="1">
      <alignment/>
      <protection/>
    </xf>
    <xf numFmtId="168" fontId="25" fillId="3" borderId="17" xfId="30" applyNumberFormat="1" applyFont="1" applyFill="1" applyBorder="1">
      <alignment/>
      <protection/>
    </xf>
    <xf numFmtId="168" fontId="25" fillId="3" borderId="0" xfId="30" applyNumberFormat="1" applyFont="1" applyFill="1">
      <alignment/>
      <protection/>
    </xf>
    <xf numFmtId="168" fontId="25" fillId="4" borderId="0" xfId="30" applyNumberFormat="1" applyFont="1" applyFill="1">
      <alignment/>
      <protection/>
    </xf>
    <xf numFmtId="168" fontId="26" fillId="4" borderId="0" xfId="30" applyNumberFormat="1" applyFont="1" applyFill="1" applyBorder="1">
      <alignment/>
      <protection/>
    </xf>
    <xf numFmtId="168" fontId="26" fillId="3" borderId="0" xfId="30" applyNumberFormat="1" applyFont="1" applyFill="1" applyBorder="1">
      <alignment/>
      <protection/>
    </xf>
    <xf numFmtId="168" fontId="26" fillId="3" borderId="17" xfId="30" applyNumberFormat="1" applyFont="1" applyFill="1" applyBorder="1">
      <alignment/>
      <protection/>
    </xf>
    <xf numFmtId="168" fontId="26" fillId="3" borderId="0" xfId="30" applyNumberFormat="1" applyFont="1" applyFill="1">
      <alignment/>
      <protection/>
    </xf>
    <xf numFmtId="168" fontId="26" fillId="4" borderId="0" xfId="30" applyNumberFormat="1" applyFont="1" applyFill="1">
      <alignment/>
      <protection/>
    </xf>
    <xf numFmtId="0" fontId="15" fillId="3" borderId="0" xfId="28" applyFont="1" applyFill="1" applyAlignment="1">
      <alignment horizontal="left" wrapText="1" indent="1"/>
      <protection/>
    </xf>
    <xf numFmtId="0" fontId="42" fillId="3" borderId="0" xfId="24" applyFont="1" applyFill="1">
      <alignment/>
      <protection/>
    </xf>
    <xf numFmtId="17" fontId="50" fillId="4" borderId="0" xfId="0" applyNumberFormat="1" applyFont="1" applyFill="1" applyBorder="1" applyAlignment="1">
      <alignment horizontal="center"/>
    </xf>
    <xf numFmtId="17" fontId="20" fillId="3" borderId="0" xfId="0" applyNumberFormat="1" applyFont="1" applyFill="1" applyBorder="1" applyAlignment="1">
      <alignment horizontal="center"/>
    </xf>
    <xf numFmtId="17" fontId="20" fillId="3" borderId="17" xfId="0" applyNumberFormat="1" applyFont="1" applyFill="1" applyBorder="1" applyAlignment="1">
      <alignment horizontal="center"/>
    </xf>
    <xf numFmtId="0" fontId="51" fillId="4" borderId="0" xfId="0" applyFont="1" applyFill="1" applyBorder="1" applyAlignment="1">
      <alignment horizontal="center"/>
    </xf>
    <xf numFmtId="171" fontId="50" fillId="3" borderId="0" xfId="0" applyNumberFormat="1" applyFont="1" applyFill="1" applyAlignment="1">
      <alignment horizontal="right"/>
    </xf>
    <xf numFmtId="171" fontId="50" fillId="4" borderId="0" xfId="0" applyNumberFormat="1" applyFont="1" applyFill="1" applyBorder="1" applyAlignment="1">
      <alignment horizontal="right"/>
    </xf>
    <xf numFmtId="171" fontId="50" fillId="4" borderId="0" xfId="0" applyNumberFormat="1" applyFont="1" applyFill="1" applyAlignment="1">
      <alignment horizontal="right"/>
    </xf>
    <xf numFmtId="171" fontId="50" fillId="3" borderId="2" xfId="0" applyNumberFormat="1" applyFont="1" applyFill="1" applyBorder="1" applyAlignment="1">
      <alignment horizontal="right"/>
    </xf>
    <xf numFmtId="171" fontId="50" fillId="4" borderId="2" xfId="0" applyNumberFormat="1" applyFont="1" applyFill="1" applyBorder="1" applyAlignment="1">
      <alignment horizontal="right"/>
    </xf>
    <xf numFmtId="170" fontId="50" fillId="4" borderId="0" xfId="0" applyNumberFormat="1" applyFont="1" applyFill="1" applyBorder="1"/>
    <xf numFmtId="170" fontId="50" fillId="3" borderId="0" xfId="0" applyNumberFormat="1" applyFont="1" applyFill="1" applyBorder="1"/>
    <xf numFmtId="170" fontId="50" fillId="3" borderId="17" xfId="0" applyNumberFormat="1" applyFont="1" applyFill="1" applyBorder="1"/>
    <xf numFmtId="170" fontId="50" fillId="4" borderId="2" xfId="0" applyNumberFormat="1" applyFont="1" applyFill="1" applyBorder="1"/>
    <xf numFmtId="170" fontId="50" fillId="3" borderId="2" xfId="0" applyNumberFormat="1" applyFont="1" applyFill="1" applyBorder="1"/>
    <xf numFmtId="170" fontId="50" fillId="4" borderId="0" xfId="0" applyNumberFormat="1" applyFont="1" applyFill="1" applyBorder="1" applyAlignment="1">
      <alignment horizontal="right"/>
    </xf>
    <xf numFmtId="170" fontId="50" fillId="3" borderId="0" xfId="0" applyNumberFormat="1" applyFont="1" applyFill="1" applyBorder="1" applyAlignment="1">
      <alignment horizontal="right"/>
    </xf>
    <xf numFmtId="170" fontId="50" fillId="3" borderId="17" xfId="0" applyNumberFormat="1" applyFont="1" applyFill="1" applyBorder="1" applyAlignment="1">
      <alignment horizontal="right"/>
    </xf>
    <xf numFmtId="170" fontId="50" fillId="3" borderId="20" xfId="0" applyNumberFormat="1" applyFont="1" applyFill="1" applyBorder="1"/>
    <xf numFmtId="170" fontId="50" fillId="4" borderId="2" xfId="0" applyNumberFormat="1" applyFont="1" applyFill="1" applyBorder="1" applyAlignment="1">
      <alignment horizontal="right"/>
    </xf>
    <xf numFmtId="170" fontId="50" fillId="3" borderId="2" xfId="0" applyNumberFormat="1" applyFont="1" applyFill="1" applyBorder="1" applyAlignment="1">
      <alignment horizontal="right"/>
    </xf>
    <xf numFmtId="170" fontId="50" fillId="3" borderId="20" xfId="0" applyNumberFormat="1" applyFont="1" applyFill="1" applyBorder="1" applyAlignment="1">
      <alignment horizontal="right"/>
    </xf>
    <xf numFmtId="170" fontId="50" fillId="4" borderId="7" xfId="0" applyNumberFormat="1" applyFont="1" applyFill="1" applyBorder="1"/>
    <xf numFmtId="170" fontId="50" fillId="3" borderId="7" xfId="0" applyNumberFormat="1" applyFont="1" applyFill="1" applyBorder="1"/>
    <xf numFmtId="170" fontId="50" fillId="3" borderId="29" xfId="0" applyNumberFormat="1" applyFont="1" applyFill="1" applyBorder="1"/>
    <xf numFmtId="170" fontId="50" fillId="3" borderId="0" xfId="0" applyNumberFormat="1" applyFont="1" applyFill="1"/>
    <xf numFmtId="170" fontId="50" fillId="4" borderId="0" xfId="0" applyNumberFormat="1" applyFont="1" applyFill="1"/>
    <xf numFmtId="171" fontId="50" fillId="3" borderId="0" xfId="0" applyNumberFormat="1" applyFont="1" applyFill="1"/>
    <xf numFmtId="171" fontId="50" fillId="4" borderId="0" xfId="0" applyNumberFormat="1" applyFont="1" applyFill="1" applyBorder="1"/>
    <xf numFmtId="171" fontId="50" fillId="4" borderId="0" xfId="0" applyNumberFormat="1" applyFont="1" applyFill="1"/>
    <xf numFmtId="171" fontId="50" fillId="3" borderId="2" xfId="0" applyNumberFormat="1" applyFont="1" applyFill="1" applyBorder="1"/>
    <xf numFmtId="171" fontId="50" fillId="4" borderId="2" xfId="0" applyNumberFormat="1" applyFont="1" applyFill="1" applyBorder="1"/>
    <xf numFmtId="171" fontId="52" fillId="3" borderId="0" xfId="0" applyNumberFormat="1" applyFont="1" applyFill="1"/>
    <xf numFmtId="171" fontId="52" fillId="4" borderId="0" xfId="0" applyNumberFormat="1" applyFont="1" applyFill="1" applyBorder="1"/>
    <xf numFmtId="171" fontId="52" fillId="4" borderId="0" xfId="0" applyNumberFormat="1" applyFont="1" applyFill="1"/>
    <xf numFmtId="181" fontId="50" fillId="3" borderId="0" xfId="0" applyNumberFormat="1" applyFont="1" applyFill="1"/>
    <xf numFmtId="181" fontId="50" fillId="4" borderId="0" xfId="0" applyNumberFormat="1" applyFont="1" applyFill="1" applyBorder="1"/>
    <xf numFmtId="181" fontId="50" fillId="4" borderId="0" xfId="0" applyNumberFormat="1" applyFont="1" applyFill="1"/>
    <xf numFmtId="170" fontId="51" fillId="3" borderId="0" xfId="0" applyNumberFormat="1" applyFont="1" applyFill="1"/>
    <xf numFmtId="170" fontId="51" fillId="4" borderId="0" xfId="0" applyNumberFormat="1" applyFont="1" applyFill="1" applyBorder="1"/>
    <xf numFmtId="170" fontId="51" fillId="4" borderId="0" xfId="0" applyNumberFormat="1" applyFont="1" applyFill="1"/>
    <xf numFmtId="170" fontId="50" fillId="3" borderId="9" xfId="0" applyNumberFormat="1" applyFont="1" applyFill="1" applyBorder="1"/>
    <xf numFmtId="170" fontId="50" fillId="4" borderId="9" xfId="0" applyNumberFormat="1" applyFont="1" applyFill="1" applyBorder="1"/>
    <xf numFmtId="171" fontId="51" fillId="3" borderId="0" xfId="0" applyNumberFormat="1" applyFont="1" applyFill="1"/>
    <xf numFmtId="171" fontId="51" fillId="4" borderId="0" xfId="0" applyNumberFormat="1" applyFont="1" applyFill="1" applyBorder="1"/>
    <xf numFmtId="171" fontId="51" fillId="4" borderId="0" xfId="0" applyNumberFormat="1" applyFont="1" applyFill="1"/>
    <xf numFmtId="168" fontId="50" fillId="4" borderId="0" xfId="0" applyNumberFormat="1" applyFont="1" applyFill="1" applyBorder="1"/>
    <xf numFmtId="168" fontId="50" fillId="3" borderId="0" xfId="0" applyNumberFormat="1" applyFont="1" applyFill="1" applyBorder="1"/>
    <xf numFmtId="168" fontId="50" fillId="3" borderId="17" xfId="0" applyNumberFormat="1" applyFont="1" applyFill="1" applyBorder="1"/>
    <xf numFmtId="171" fontId="52" fillId="3" borderId="0" xfId="0" applyNumberFormat="1" applyFont="1" applyFill="1" applyBorder="1"/>
    <xf numFmtId="194" fontId="50" fillId="4" borderId="0" xfId="0" applyNumberFormat="1" applyFont="1" applyFill="1" applyBorder="1"/>
    <xf numFmtId="194" fontId="50" fillId="3" borderId="0" xfId="0" applyNumberFormat="1" applyFont="1" applyFill="1" applyBorder="1"/>
    <xf numFmtId="194" fontId="50" fillId="3" borderId="17" xfId="0" applyNumberFormat="1" applyFont="1" applyFill="1" applyBorder="1"/>
    <xf numFmtId="195" fontId="52" fillId="3" borderId="0" xfId="0" applyNumberFormat="1" applyFont="1" applyFill="1" applyBorder="1"/>
    <xf numFmtId="195" fontId="52" fillId="4" borderId="0" xfId="0" applyNumberFormat="1" applyFont="1" applyFill="1" applyBorder="1"/>
    <xf numFmtId="176" fontId="51" fillId="4" borderId="0" xfId="0" applyNumberFormat="1" applyFont="1" applyFill="1" applyBorder="1"/>
    <xf numFmtId="176" fontId="51" fillId="3" borderId="0" xfId="0" applyNumberFormat="1" applyFont="1" applyFill="1" applyBorder="1"/>
    <xf numFmtId="176" fontId="51" fillId="3" borderId="0" xfId="16" applyNumberFormat="1" applyFont="1" applyFill="1" applyBorder="1">
      <alignment/>
      <protection/>
    </xf>
    <xf numFmtId="176" fontId="51" fillId="3" borderId="17" xfId="16" applyNumberFormat="1" applyFont="1" applyFill="1" applyBorder="1">
      <alignment/>
      <protection/>
    </xf>
    <xf numFmtId="176" fontId="51" fillId="3" borderId="0" xfId="16" applyNumberFormat="1" applyFont="1" applyFill="1">
      <alignment/>
      <protection/>
    </xf>
    <xf numFmtId="176" fontId="51" fillId="4" borderId="0" xfId="16" applyNumberFormat="1" applyFont="1" applyFill="1" applyBorder="1">
      <alignment/>
      <protection/>
    </xf>
    <xf numFmtId="176" fontId="51" fillId="4" borderId="0" xfId="16" applyNumberFormat="1" applyFont="1" applyFill="1">
      <alignment/>
      <protection/>
    </xf>
    <xf numFmtId="173" fontId="51" fillId="3" borderId="0" xfId="0" applyNumberFormat="1" applyFont="1" applyFill="1"/>
    <xf numFmtId="173" fontId="51" fillId="4" borderId="0" xfId="0" applyNumberFormat="1" applyFont="1" applyFill="1" applyBorder="1"/>
    <xf numFmtId="173" fontId="51" fillId="4" borderId="0" xfId="0" applyNumberFormat="1" applyFont="1" applyFill="1"/>
    <xf numFmtId="166" fontId="51" fillId="3" borderId="0" xfId="0" applyNumberFormat="1" applyFont="1" applyFill="1" applyAlignment="1">
      <alignment horizontal="left"/>
    </xf>
    <xf numFmtId="170" fontId="50" fillId="4" borderId="0" xfId="0" applyNumberFormat="1" applyFont="1" applyFill="1" applyBorder="1" applyAlignment="1">
      <alignment horizontal="left" indent="1"/>
    </xf>
    <xf numFmtId="170" fontId="50" fillId="4" borderId="2" xfId="0" applyNumberFormat="1" applyFont="1" applyFill="1" applyBorder="1" applyAlignment="1">
      <alignment horizontal="left" indent="1"/>
    </xf>
    <xf numFmtId="170" fontId="53" fillId="3" borderId="4" xfId="26" applyNumberFormat="1" applyFont="1" applyFill="1" applyBorder="1">
      <alignment/>
      <protection/>
    </xf>
    <xf numFmtId="170" fontId="53" fillId="3" borderId="1" xfId="26" applyNumberFormat="1" applyFont="1" applyFill="1" applyBorder="1">
      <alignment/>
      <protection/>
    </xf>
    <xf numFmtId="196" fontId="51" fillId="3" borderId="0" xfId="0" applyNumberFormat="1" applyFont="1" applyFill="1" applyBorder="1" applyAlignment="1">
      <alignment horizontal="right"/>
    </xf>
    <xf numFmtId="187" fontId="53" fillId="3" borderId="0" xfId="26" applyNumberFormat="1" applyFont="1" applyFill="1" applyBorder="1">
      <alignment/>
      <protection/>
    </xf>
    <xf numFmtId="187" fontId="50" fillId="3" borderId="0" xfId="0" applyNumberFormat="1" applyFont="1" applyFill="1" applyBorder="1"/>
    <xf numFmtId="187" fontId="50" fillId="3" borderId="17" xfId="0" applyNumberFormat="1" applyFont="1" applyFill="1" applyBorder="1"/>
    <xf numFmtId="188" fontId="53" fillId="3" borderId="0" xfId="26" applyNumberFormat="1" applyFont="1" applyFill="1" applyBorder="1">
      <alignment/>
      <protection/>
    </xf>
    <xf numFmtId="188" fontId="50" fillId="3" borderId="0" xfId="0" applyNumberFormat="1" applyFont="1" applyFill="1" applyBorder="1"/>
    <xf numFmtId="188" fontId="50" fillId="3" borderId="17" xfId="0" applyNumberFormat="1" applyFont="1" applyFill="1" applyBorder="1"/>
    <xf numFmtId="192" fontId="53" fillId="3" borderId="0" xfId="26" applyNumberFormat="1" applyFont="1" applyFill="1" applyBorder="1">
      <alignment/>
      <protection/>
    </xf>
    <xf numFmtId="192" fontId="50" fillId="3" borderId="0" xfId="0" applyNumberFormat="1" applyFont="1" applyFill="1" applyBorder="1"/>
    <xf numFmtId="192" fontId="50" fillId="3" borderId="17" xfId="0" applyNumberFormat="1" applyFont="1" applyFill="1" applyBorder="1"/>
    <xf numFmtId="187" fontId="50" fillId="3" borderId="0" xfId="0" applyNumberFormat="1" applyFont="1" applyFill="1"/>
    <xf numFmtId="188" fontId="50" fillId="3" borderId="0" xfId="0" applyNumberFormat="1" applyFont="1" applyFill="1"/>
    <xf numFmtId="1" fontId="7" fillId="6" borderId="0" xfId="0" applyNumberFormat="1" applyFont="1" applyFill="1" applyBorder="1" applyAlignment="1">
      <alignment horizontal="center"/>
    </xf>
    <xf numFmtId="1" fontId="26" fillId="6" borderId="0" xfId="0" applyNumberFormat="1" applyFont="1" applyFill="1" applyAlignment="1">
      <alignment horizontal="center"/>
    </xf>
    <xf numFmtId="1" fontId="26" fillId="6" borderId="0" xfId="0" applyNumberFormat="1" applyFont="1" applyFill="1" applyBorder="1" applyAlignment="1">
      <alignment horizontal="center"/>
    </xf>
    <xf numFmtId="17" fontId="50" fillId="6" borderId="0" xfId="0" applyNumberFormat="1" applyFont="1" applyFill="1" applyBorder="1" applyAlignment="1">
      <alignment horizontal="center"/>
    </xf>
    <xf numFmtId="17" fontId="20" fillId="6" borderId="0" xfId="0" applyNumberFormat="1" applyFont="1" applyFill="1" applyBorder="1" applyAlignment="1">
      <alignment horizontal="center"/>
    </xf>
    <xf numFmtId="17" fontId="20" fillId="6" borderId="0" xfId="0" applyNumberFormat="1" applyFont="1" applyFill="1" applyAlignment="1">
      <alignment horizontal="center"/>
    </xf>
    <xf numFmtId="0" fontId="51" fillId="6" borderId="0" xfId="0" applyFont="1" applyFill="1" applyBorder="1" applyAlignment="1">
      <alignment horizontal="center"/>
    </xf>
    <xf numFmtId="0" fontId="31" fillId="6" borderId="0" xfId="0" applyFont="1" applyFill="1" applyBorder="1" applyAlignment="1">
      <alignment horizontal="center"/>
    </xf>
    <xf numFmtId="0" fontId="6" fillId="6" borderId="0" xfId="0" applyFont="1" applyFill="1" applyBorder="1" applyAlignment="1">
      <alignment horizontal="center"/>
    </xf>
    <xf numFmtId="0" fontId="31" fillId="6" borderId="0" xfId="0" applyFont="1" applyFill="1" applyAlignment="1">
      <alignment horizontal="center"/>
    </xf>
    <xf numFmtId="171" fontId="25" fillId="6" borderId="0" xfId="0" applyNumberFormat="1" applyFont="1" applyFill="1" applyBorder="1" applyAlignment="1">
      <alignment horizontal="right"/>
    </xf>
    <xf numFmtId="171" fontId="0" fillId="6" borderId="0" xfId="0" applyNumberFormat="1" applyFont="1" applyFill="1" applyBorder="1" applyAlignment="1">
      <alignment horizontal="right"/>
    </xf>
    <xf numFmtId="171" fontId="25" fillId="6" borderId="0" xfId="0" applyNumberFormat="1" applyFont="1" applyFill="1" applyAlignment="1">
      <alignment horizontal="right"/>
    </xf>
    <xf numFmtId="171" fontId="50" fillId="6" borderId="0" xfId="0" applyNumberFormat="1" applyFont="1" applyFill="1" applyBorder="1" applyAlignment="1">
      <alignment horizontal="right"/>
    </xf>
    <xf numFmtId="171" fontId="50" fillId="6" borderId="0" xfId="0" applyNumberFormat="1" applyFont="1" applyFill="1" applyAlignment="1">
      <alignment horizontal="right"/>
    </xf>
    <xf numFmtId="171" fontId="25" fillId="6" borderId="2" xfId="0" applyNumberFormat="1" applyFont="1" applyFill="1" applyBorder="1" applyAlignment="1">
      <alignment horizontal="right"/>
    </xf>
    <xf numFmtId="171" fontId="0" fillId="6" borderId="2" xfId="0" applyNumberFormat="1" applyFont="1" applyFill="1" applyBorder="1" applyAlignment="1">
      <alignment horizontal="right"/>
    </xf>
    <xf numFmtId="171" fontId="50" fillId="6" borderId="2" xfId="0" applyNumberFormat="1" applyFont="1" applyFill="1" applyBorder="1" applyAlignment="1">
      <alignment horizontal="right"/>
    </xf>
    <xf numFmtId="171" fontId="26" fillId="6" borderId="7" xfId="0" applyNumberFormat="1" applyFont="1" applyFill="1" applyBorder="1" applyAlignment="1">
      <alignment horizontal="right"/>
    </xf>
    <xf numFmtId="171" fontId="7" fillId="6" borderId="7" xfId="0" applyNumberFormat="1" applyFont="1" applyFill="1" applyBorder="1" applyAlignment="1">
      <alignment horizontal="right"/>
    </xf>
    <xf numFmtId="171" fontId="26" fillId="6" borderId="0" xfId="0" applyNumberFormat="1" applyFont="1" applyFill="1" applyBorder="1" applyAlignment="1">
      <alignment horizontal="right"/>
    </xf>
    <xf numFmtId="171" fontId="7" fillId="6" borderId="0" xfId="0" applyNumberFormat="1" applyFont="1" applyFill="1" applyBorder="1" applyAlignment="1">
      <alignment horizontal="right"/>
    </xf>
    <xf numFmtId="171" fontId="26" fillId="6" borderId="0" xfId="0" applyNumberFormat="1" applyFont="1" applyFill="1" applyAlignment="1">
      <alignment horizontal="right"/>
    </xf>
    <xf numFmtId="170" fontId="25" fillId="6" borderId="0" xfId="0" applyNumberFormat="1" applyFont="1" applyFill="1" applyBorder="1"/>
    <xf numFmtId="170" fontId="50" fillId="6" borderId="0" xfId="0" applyNumberFormat="1" applyFont="1" applyFill="1" applyBorder="1"/>
    <xf numFmtId="170" fontId="25" fillId="6" borderId="0" xfId="0" applyNumberFormat="1" applyFont="1" applyFill="1"/>
    <xf numFmtId="170" fontId="25" fillId="6" borderId="2" xfId="0" applyNumberFormat="1" applyFont="1" applyFill="1" applyBorder="1"/>
    <xf numFmtId="170" fontId="50" fillId="6" borderId="2" xfId="0" applyNumberFormat="1" applyFont="1" applyFill="1" applyBorder="1"/>
    <xf numFmtId="170" fontId="0" fillId="6" borderId="9" xfId="0" applyNumberFormat="1" applyFont="1" applyFill="1" applyBorder="1"/>
    <xf numFmtId="170" fontId="25" fillId="6" borderId="9" xfId="0" applyNumberFormat="1" applyFont="1" applyFill="1" applyBorder="1"/>
    <xf numFmtId="170" fontId="7" fillId="6" borderId="7" xfId="0" applyNumberFormat="1" applyFont="1" applyFill="1" applyBorder="1"/>
    <xf numFmtId="170" fontId="26" fillId="6" borderId="7" xfId="0" applyNumberFormat="1" applyFont="1" applyFill="1" applyBorder="1"/>
    <xf numFmtId="170" fontId="0" fillId="6" borderId="0" xfId="0" applyNumberFormat="1" applyFont="1" applyFill="1" applyBorder="1"/>
    <xf numFmtId="170" fontId="0" fillId="6" borderId="2" xfId="0" applyNumberFormat="1" applyFont="1" applyFill="1" applyBorder="1"/>
    <xf numFmtId="170" fontId="7" fillId="6" borderId="7" xfId="0" applyNumberFormat="1" applyFont="1" applyFill="1" applyBorder="1" applyAlignment="1">
      <alignment horizontal="right"/>
    </xf>
    <xf numFmtId="170" fontId="26" fillId="6" borderId="7" xfId="0" applyNumberFormat="1" applyFont="1" applyFill="1" applyBorder="1" applyAlignment="1">
      <alignment horizontal="right"/>
    </xf>
    <xf numFmtId="170" fontId="25" fillId="6" borderId="0" xfId="0" applyNumberFormat="1" applyFont="1" applyFill="1" applyBorder="1" applyAlignment="1">
      <alignment horizontal="right"/>
    </xf>
    <xf numFmtId="170" fontId="50" fillId="6" borderId="0" xfId="0" applyNumberFormat="1" applyFont="1" applyFill="1" applyBorder="1" applyAlignment="1">
      <alignment horizontal="right"/>
    </xf>
    <xf numFmtId="170" fontId="25" fillId="6" borderId="0" xfId="0" applyNumberFormat="1" applyFont="1" applyFill="1" applyAlignment="1">
      <alignment horizontal="right"/>
    </xf>
    <xf numFmtId="170" fontId="26" fillId="6" borderId="0" xfId="0" applyNumberFormat="1" applyFont="1" applyFill="1" applyBorder="1"/>
    <xf numFmtId="170" fontId="26" fillId="6" borderId="0" xfId="0" applyNumberFormat="1" applyFont="1" applyFill="1"/>
    <xf numFmtId="170" fontId="25" fillId="6" borderId="2" xfId="0" applyNumberFormat="1" applyFont="1" applyFill="1" applyBorder="1" applyAlignment="1">
      <alignment horizontal="right"/>
    </xf>
    <xf numFmtId="170" fontId="50" fillId="6" borderId="2" xfId="0" applyNumberFormat="1" applyFont="1" applyFill="1" applyBorder="1" applyAlignment="1">
      <alignment horizontal="right"/>
    </xf>
    <xf numFmtId="170" fontId="0" fillId="6" borderId="9" xfId="0" applyNumberFormat="1" applyFont="1" applyFill="1" applyBorder="1" applyAlignment="1">
      <alignment horizontal="right"/>
    </xf>
    <xf numFmtId="170" fontId="0" fillId="6" borderId="2" xfId="0" applyNumberFormat="1" applyFont="1" applyFill="1" applyBorder="1" applyAlignment="1">
      <alignment horizontal="right"/>
    </xf>
    <xf numFmtId="170" fontId="25" fillId="6" borderId="9" xfId="0" applyNumberFormat="1" applyFont="1" applyFill="1" applyBorder="1" applyAlignment="1">
      <alignment horizontal="right"/>
    </xf>
    <xf numFmtId="170" fontId="23" fillId="6" borderId="0" xfId="0" applyNumberFormat="1" applyFont="1" applyFill="1" applyBorder="1"/>
    <xf numFmtId="170" fontId="23" fillId="6" borderId="0" xfId="0" applyNumberFormat="1" applyFont="1" applyFill="1" applyAlignment="1">
      <alignment horizontal="right"/>
    </xf>
    <xf numFmtId="170" fontId="23" fillId="6" borderId="0" xfId="0" applyNumberFormat="1" applyFont="1" applyFill="1" applyBorder="1" applyAlignment="1">
      <alignment horizontal="right"/>
    </xf>
    <xf numFmtId="170" fontId="25" fillId="6" borderId="7" xfId="0" applyNumberFormat="1" applyFont="1" applyFill="1" applyBorder="1"/>
    <xf numFmtId="170" fontId="50" fillId="6" borderId="7" xfId="0" applyNumberFormat="1" applyFont="1" applyFill="1" applyBorder="1"/>
    <xf numFmtId="170" fontId="0" fillId="6" borderId="7" xfId="0" applyNumberFormat="1" applyFont="1" applyFill="1" applyBorder="1"/>
    <xf numFmtId="170" fontId="50" fillId="6" borderId="0" xfId="0" applyNumberFormat="1" applyFont="1" applyFill="1"/>
    <xf numFmtId="168" fontId="25" fillId="6" borderId="0" xfId="0" applyNumberFormat="1" applyFont="1" applyFill="1" applyBorder="1"/>
    <xf numFmtId="168" fontId="25" fillId="6" borderId="0" xfId="0" applyNumberFormat="1" applyFont="1" applyFill="1"/>
    <xf numFmtId="171" fontId="25" fillId="6" borderId="0" xfId="0" applyNumberFormat="1" applyFont="1" applyFill="1" applyBorder="1"/>
    <xf numFmtId="171" fontId="0" fillId="6" borderId="0" xfId="0" applyNumberFormat="1" applyFont="1" applyFill="1" applyBorder="1"/>
    <xf numFmtId="171" fontId="25" fillId="6" borderId="0" xfId="0" applyNumberFormat="1" applyFont="1" applyFill="1"/>
    <xf numFmtId="171" fontId="50" fillId="6" borderId="0" xfId="0" applyNumberFormat="1" applyFont="1" applyFill="1" applyBorder="1"/>
    <xf numFmtId="171" fontId="50" fillId="6" borderId="0" xfId="0" applyNumberFormat="1" applyFont="1" applyFill="1"/>
    <xf numFmtId="171" fontId="25" fillId="6" borderId="2" xfId="0" applyNumberFormat="1" applyFont="1" applyFill="1" applyBorder="1"/>
    <xf numFmtId="171" fontId="0" fillId="6" borderId="2" xfId="0" applyNumberFormat="1" applyFont="1" applyFill="1" applyBorder="1"/>
    <xf numFmtId="171" fontId="50" fillId="6" borderId="2" xfId="0" applyNumberFormat="1" applyFont="1" applyFill="1" applyBorder="1"/>
    <xf numFmtId="171" fontId="26" fillId="6" borderId="7" xfId="0" applyNumberFormat="1" applyFont="1" applyFill="1" applyBorder="1"/>
    <xf numFmtId="171" fontId="7" fillId="6" borderId="7" xfId="0" applyNumberFormat="1" applyFont="1" applyFill="1" applyBorder="1"/>
    <xf numFmtId="171" fontId="26" fillId="6" borderId="0" xfId="0" applyNumberFormat="1" applyFont="1" applyFill="1" applyBorder="1"/>
    <xf numFmtId="171" fontId="26" fillId="6" borderId="0" xfId="0" applyNumberFormat="1" applyFont="1" applyFill="1"/>
    <xf numFmtId="171" fontId="25" fillId="6" borderId="7" xfId="0" applyNumberFormat="1" applyFont="1" applyFill="1" applyBorder="1"/>
    <xf numFmtId="171" fontId="7" fillId="6" borderId="0" xfId="0" applyNumberFormat="1" applyFont="1" applyFill="1" applyBorder="1"/>
    <xf numFmtId="171" fontId="23" fillId="6" borderId="0" xfId="0" applyNumberFormat="1" applyFont="1" applyFill="1" applyBorder="1"/>
    <xf numFmtId="171" fontId="23" fillId="6" borderId="0" xfId="0" applyNumberFormat="1" applyFont="1" applyFill="1" applyAlignment="1">
      <alignment horizontal="right"/>
    </xf>
    <xf numFmtId="171" fontId="23" fillId="6" borderId="0" xfId="0" applyNumberFormat="1" applyFont="1" applyFill="1" applyBorder="1" applyAlignment="1">
      <alignment horizontal="right"/>
    </xf>
    <xf numFmtId="170" fontId="7" fillId="6" borderId="0" xfId="0" applyNumberFormat="1" applyFont="1" applyFill="1" applyBorder="1"/>
    <xf numFmtId="168" fontId="26" fillId="6" borderId="0" xfId="0" applyNumberFormat="1" applyFont="1" applyFill="1" applyBorder="1"/>
    <xf numFmtId="168" fontId="26" fillId="6" borderId="0" xfId="0" applyNumberFormat="1" applyFont="1" applyFill="1"/>
    <xf numFmtId="171" fontId="19" fillId="6" borderId="0" xfId="0" applyNumberFormat="1" applyFont="1" applyFill="1" applyBorder="1"/>
    <xf numFmtId="171" fontId="23" fillId="6" borderId="0" xfId="0" applyNumberFormat="1" applyFont="1" applyFill="1"/>
    <xf numFmtId="171" fontId="52" fillId="6" borderId="0" xfId="0" applyNumberFormat="1" applyFont="1" applyFill="1" applyBorder="1"/>
    <xf numFmtId="171" fontId="52" fillId="6" borderId="0" xfId="0" applyNumberFormat="1" applyFont="1" applyFill="1"/>
    <xf numFmtId="181" fontId="25" fillId="6" borderId="0" xfId="0" applyNumberFormat="1" applyFont="1" applyFill="1" applyBorder="1"/>
    <xf numFmtId="181" fontId="0" fillId="6" borderId="0" xfId="0" applyNumberFormat="1" applyFont="1" applyFill="1" applyBorder="1"/>
    <xf numFmtId="181" fontId="25" fillId="6" borderId="0" xfId="0" applyNumberFormat="1" applyFont="1" applyFill="1"/>
    <xf numFmtId="181" fontId="50" fillId="6" borderId="0" xfId="0" applyNumberFormat="1" applyFont="1" applyFill="1" applyBorder="1"/>
    <xf numFmtId="181" fontId="50" fillId="6" borderId="0" xfId="0" applyNumberFormat="1" applyFont="1" applyFill="1"/>
    <xf numFmtId="181" fontId="26" fillId="6" borderId="7" xfId="0" applyNumberFormat="1" applyFont="1" applyFill="1" applyBorder="1"/>
    <xf numFmtId="181" fontId="7" fillId="6" borderId="7" xfId="0" applyNumberFormat="1" applyFont="1" applyFill="1" applyBorder="1"/>
    <xf numFmtId="170" fontId="51" fillId="6" borderId="0" xfId="0" applyNumberFormat="1" applyFont="1" applyFill="1" applyBorder="1"/>
    <xf numFmtId="170" fontId="51" fillId="6" borderId="0" xfId="0" applyNumberFormat="1" applyFont="1" applyFill="1"/>
    <xf numFmtId="170" fontId="50" fillId="6" borderId="9" xfId="0" applyNumberFormat="1" applyFont="1" applyFill="1" applyBorder="1"/>
    <xf numFmtId="170" fontId="25" fillId="6" borderId="0" xfId="0" applyNumberFormat="1" applyFont="1" applyFill="1" applyAlignment="1">
      <alignment horizontal="center"/>
    </xf>
    <xf numFmtId="170" fontId="25" fillId="6" borderId="0" xfId="0" applyNumberFormat="1" applyFont="1" applyFill="1" applyBorder="1" applyAlignment="1">
      <alignment horizontal="center"/>
    </xf>
    <xf numFmtId="170" fontId="23" fillId="6" borderId="0" xfId="0" applyNumberFormat="1" applyFont="1" applyFill="1"/>
    <xf numFmtId="170" fontId="7" fillId="6" borderId="9" xfId="0" applyNumberFormat="1" applyFont="1" applyFill="1" applyBorder="1"/>
    <xf numFmtId="170" fontId="26" fillId="6" borderId="9" xfId="0" applyNumberFormat="1" applyFont="1" applyFill="1" applyBorder="1"/>
    <xf numFmtId="168" fontId="23" fillId="6" borderId="7" xfId="0" applyNumberFormat="1" applyFont="1" applyFill="1" applyBorder="1"/>
    <xf numFmtId="171" fontId="51" fillId="6" borderId="0" xfId="0" applyNumberFormat="1" applyFont="1" applyFill="1" applyBorder="1"/>
    <xf numFmtId="171" fontId="51" fillId="6" borderId="0" xfId="0" applyNumberFormat="1" applyFont="1" applyFill="1"/>
    <xf numFmtId="173" fontId="7" fillId="6" borderId="0" xfId="0" applyNumberFormat="1" applyFont="1" applyFill="1" applyBorder="1"/>
    <xf numFmtId="173" fontId="26" fillId="6" borderId="0" xfId="0" applyNumberFormat="1" applyFont="1" applyFill="1"/>
    <xf numFmtId="173" fontId="26" fillId="6" borderId="0" xfId="0" applyNumberFormat="1" applyFont="1" applyFill="1" applyBorder="1"/>
    <xf numFmtId="173" fontId="23" fillId="6" borderId="0" xfId="0" applyNumberFormat="1" applyFont="1" applyFill="1" applyBorder="1"/>
    <xf numFmtId="173" fontId="23" fillId="6" borderId="0" xfId="0" applyNumberFormat="1" applyFont="1" applyFill="1" applyAlignment="1">
      <alignment horizontal="right"/>
    </xf>
    <xf numFmtId="173" fontId="23" fillId="6" borderId="0" xfId="0" applyNumberFormat="1" applyFont="1" applyFill="1" applyBorder="1" applyAlignment="1">
      <alignment horizontal="right"/>
    </xf>
    <xf numFmtId="168" fontId="50" fillId="6" borderId="0" xfId="0" applyNumberFormat="1" applyFont="1" applyFill="1" applyBorder="1"/>
    <xf numFmtId="168" fontId="0" fillId="6" borderId="0" xfId="0" applyNumberFormat="1" applyFont="1" applyFill="1" applyBorder="1"/>
    <xf numFmtId="171" fontId="23" fillId="6" borderId="2" xfId="0" applyNumberFormat="1" applyFont="1" applyFill="1" applyBorder="1"/>
    <xf numFmtId="194" fontId="50" fillId="6" borderId="0" xfId="0" applyNumberFormat="1" applyFont="1" applyFill="1" applyBorder="1"/>
    <xf numFmtId="194" fontId="25" fillId="6" borderId="0" xfId="0" applyNumberFormat="1" applyFont="1" applyFill="1"/>
    <xf numFmtId="194" fontId="25" fillId="6" borderId="0" xfId="0" applyNumberFormat="1" applyFont="1" applyFill="1" applyBorder="1"/>
    <xf numFmtId="195" fontId="23" fillId="6" borderId="0" xfId="0" applyNumberFormat="1" applyFont="1" applyFill="1" applyBorder="1"/>
    <xf numFmtId="195" fontId="52" fillId="6" borderId="0" xfId="0" applyNumberFormat="1" applyFont="1" applyFill="1" applyBorder="1"/>
    <xf numFmtId="176" fontId="51" fillId="6" borderId="0" xfId="0" applyNumberFormat="1" applyFont="1" applyFill="1" applyBorder="1"/>
    <xf numFmtId="176" fontId="26" fillId="6" borderId="0" xfId="0" applyNumberFormat="1" applyFont="1" applyFill="1" applyBorder="1"/>
    <xf numFmtId="176" fontId="26" fillId="6" borderId="0" xfId="16" applyNumberFormat="1" applyFont="1" applyFill="1" applyBorder="1">
      <alignment/>
      <protection/>
    </xf>
    <xf numFmtId="176" fontId="26" fillId="6" borderId="0" xfId="16" applyNumberFormat="1" applyFont="1" applyFill="1">
      <alignment/>
      <protection/>
    </xf>
    <xf numFmtId="176" fontId="51" fillId="6" borderId="0" xfId="16" applyNumberFormat="1" applyFont="1" applyFill="1" applyBorder="1">
      <alignment/>
      <protection/>
    </xf>
    <xf numFmtId="176" fontId="51" fillId="6" borderId="0" xfId="16" applyNumberFormat="1" applyFont="1" applyFill="1">
      <alignment/>
      <protection/>
    </xf>
    <xf numFmtId="173" fontId="26" fillId="6" borderId="0" xfId="16" applyNumberFormat="1" applyFont="1" applyFill="1" applyBorder="1" applyAlignment="1">
      <alignment horizontal="right" indent="1"/>
      <protection/>
    </xf>
    <xf numFmtId="173" fontId="26" fillId="6" borderId="0" xfId="16" applyNumberFormat="1" applyFont="1" applyFill="1" applyBorder="1">
      <alignment/>
      <protection/>
    </xf>
    <xf numFmtId="173" fontId="26" fillId="6" borderId="0" xfId="16" applyNumberFormat="1" applyFont="1" applyFill="1">
      <alignment/>
      <protection/>
    </xf>
    <xf numFmtId="171" fontId="19" fillId="6" borderId="0" xfId="16" applyNumberFormat="1" applyFont="1" applyFill="1" applyBorder="1" applyAlignment="1">
      <alignment horizontal="right" indent="1"/>
      <protection/>
    </xf>
    <xf numFmtId="171" fontId="19" fillId="6" borderId="0" xfId="16" applyNumberFormat="1" applyFont="1" applyFill="1" applyBorder="1">
      <alignment/>
      <protection/>
    </xf>
    <xf numFmtId="171" fontId="23" fillId="6" borderId="0" xfId="16" applyNumberFormat="1" applyFont="1" applyFill="1">
      <alignment/>
      <protection/>
    </xf>
    <xf numFmtId="171" fontId="23" fillId="6" borderId="0" xfId="16" applyNumberFormat="1" applyFont="1" applyFill="1" applyBorder="1">
      <alignment/>
      <protection/>
    </xf>
    <xf numFmtId="170" fontId="26" fillId="6" borderId="0" xfId="0" applyNumberFormat="1" applyFont="1" applyFill="1" applyAlignment="1">
      <alignment horizontal="right"/>
    </xf>
    <xf numFmtId="170" fontId="26" fillId="6" borderId="0" xfId="0" applyNumberFormat="1" applyFont="1" applyFill="1" applyBorder="1" applyAlignment="1">
      <alignment horizontal="right"/>
    </xf>
    <xf numFmtId="168" fontId="23" fillId="6" borderId="0" xfId="0" applyNumberFormat="1" applyFont="1" applyFill="1" applyBorder="1"/>
    <xf numFmtId="168" fontId="23" fillId="6" borderId="0" xfId="0" applyNumberFormat="1" applyFont="1" applyFill="1" applyAlignment="1">
      <alignment horizontal="right"/>
    </xf>
    <xf numFmtId="168" fontId="23" fillId="6" borderId="0" xfId="0" applyNumberFormat="1" applyFont="1" applyFill="1" applyBorder="1" applyAlignment="1">
      <alignment horizontal="right"/>
    </xf>
    <xf numFmtId="181" fontId="26" fillId="6" borderId="0" xfId="0" applyNumberFormat="1" applyFont="1" applyFill="1" applyBorder="1"/>
    <xf numFmtId="181" fontId="7" fillId="6" borderId="0" xfId="0" applyNumberFormat="1" applyFont="1" applyFill="1" applyBorder="1"/>
    <xf numFmtId="181" fontId="26" fillId="6" borderId="0" xfId="0" applyNumberFormat="1" applyFont="1" applyFill="1"/>
    <xf numFmtId="181" fontId="23" fillId="6" borderId="0" xfId="0" applyNumberFormat="1" applyFont="1" applyFill="1" applyBorder="1"/>
    <xf numFmtId="181" fontId="23" fillId="6" borderId="0" xfId="0" applyNumberFormat="1" applyFont="1" applyFill="1" applyAlignment="1">
      <alignment horizontal="right"/>
    </xf>
    <xf numFmtId="181" fontId="23" fillId="6" borderId="0" xfId="0" applyNumberFormat="1" applyFont="1" applyFill="1" applyBorder="1" applyAlignment="1">
      <alignment horizontal="right"/>
    </xf>
    <xf numFmtId="0" fontId="25" fillId="6" borderId="0" xfId="0" applyNumberFormat="1" applyFont="1" applyFill="1" applyBorder="1"/>
    <xf numFmtId="0" fontId="25" fillId="6" borderId="0" xfId="0" applyNumberFormat="1" applyFont="1" applyFill="1"/>
    <xf numFmtId="173" fontId="51" fillId="6" borderId="0" xfId="0" applyNumberFormat="1" applyFont="1" applyFill="1" applyBorder="1"/>
    <xf numFmtId="173" fontId="51" fillId="6" borderId="0" xfId="0" applyNumberFormat="1" applyFont="1" applyFill="1"/>
    <xf numFmtId="166" fontId="7" fillId="6" borderId="0" xfId="0" applyNumberFormat="1" applyFont="1" applyFill="1" applyBorder="1" applyAlignment="1">
      <alignment horizontal="right"/>
    </xf>
    <xf numFmtId="166" fontId="7" fillId="6" borderId="0" xfId="0" applyNumberFormat="1" applyFont="1" applyFill="1" applyBorder="1"/>
    <xf numFmtId="166" fontId="26" fillId="6" borderId="0" xfId="0" applyNumberFormat="1" applyFont="1" applyFill="1"/>
    <xf numFmtId="166" fontId="26" fillId="6" borderId="0" xfId="0" applyNumberFormat="1" applyFont="1" applyFill="1" applyBorder="1"/>
    <xf numFmtId="174" fontId="25" fillId="6" borderId="0" xfId="0" applyNumberFormat="1" applyFont="1" applyFill="1" applyBorder="1" applyAlignment="1">
      <alignment horizontal="right"/>
    </xf>
    <xf numFmtId="174" fontId="25" fillId="6" borderId="0" xfId="0" applyNumberFormat="1" applyFont="1" applyFill="1" applyAlignment="1">
      <alignment horizontal="right"/>
    </xf>
    <xf numFmtId="174" fontId="0" fillId="6" borderId="0" xfId="0" applyNumberFormat="1" applyFont="1" applyFill="1" applyBorder="1" applyAlignment="1">
      <alignment horizontal="right"/>
    </xf>
    <xf numFmtId="187" fontId="0" fillId="6" borderId="0" xfId="0" applyNumberFormat="1" applyFont="1" applyFill="1" applyBorder="1" applyAlignment="1">
      <alignment horizontal="right"/>
    </xf>
    <xf numFmtId="187" fontId="0" fillId="6" borderId="0" xfId="0" applyNumberFormat="1" applyFont="1" applyFill="1" applyBorder="1"/>
    <xf numFmtId="187" fontId="25" fillId="6" borderId="0" xfId="0" applyNumberFormat="1" applyFont="1" applyFill="1"/>
    <xf numFmtId="187" fontId="25" fillId="6" borderId="0" xfId="0" applyNumberFormat="1" applyFont="1" applyFill="1" applyBorder="1"/>
    <xf numFmtId="192" fontId="0" fillId="6" borderId="0" xfId="0" applyNumberFormat="1" applyFont="1" applyFill="1" applyBorder="1" applyAlignment="1">
      <alignment horizontal="right"/>
    </xf>
    <xf numFmtId="192" fontId="0" fillId="6" borderId="0" xfId="0" applyNumberFormat="1" applyFont="1" applyFill="1" applyBorder="1"/>
    <xf numFmtId="192" fontId="25" fillId="6" borderId="0" xfId="0" applyNumberFormat="1" applyFont="1" applyFill="1"/>
    <xf numFmtId="192" fontId="25" fillId="6" borderId="0" xfId="0" applyNumberFormat="1" applyFont="1" applyFill="1" applyBorder="1"/>
    <xf numFmtId="188" fontId="0" fillId="6" borderId="0" xfId="0" applyNumberFormat="1" applyFont="1" applyFill="1" applyBorder="1" applyAlignment="1">
      <alignment horizontal="right"/>
    </xf>
    <xf numFmtId="188" fontId="0" fillId="6" borderId="0" xfId="0" applyNumberFormat="1" applyFont="1" applyFill="1" applyBorder="1"/>
    <xf numFmtId="188" fontId="25" fillId="6" borderId="0" xfId="0" applyNumberFormat="1" applyFont="1" applyFill="1"/>
    <xf numFmtId="188" fontId="25" fillId="6" borderId="0" xfId="0" applyNumberFormat="1" applyFont="1" applyFill="1" applyBorder="1"/>
    <xf numFmtId="170" fontId="50" fillId="6" borderId="0" xfId="0" applyNumberFormat="1" applyFont="1" applyFill="1" applyBorder="1" applyAlignment="1">
      <alignment horizontal="left" indent="1"/>
    </xf>
    <xf numFmtId="170" fontId="25" fillId="6" borderId="0" xfId="0" applyNumberFormat="1" applyFont="1" applyFill="1" applyBorder="1" applyAlignment="1">
      <alignment horizontal="left" indent="1"/>
    </xf>
    <xf numFmtId="170" fontId="50" fillId="6" borderId="2" xfId="0" applyNumberFormat="1" applyFont="1" applyFill="1" applyBorder="1" applyAlignment="1">
      <alignment horizontal="left" indent="1"/>
    </xf>
    <xf numFmtId="17" fontId="34" fillId="6" borderId="0" xfId="30" applyNumberFormat="1" applyFont="1" applyFill="1" applyBorder="1" applyAlignment="1">
      <alignment horizontal="center"/>
      <protection/>
    </xf>
    <xf numFmtId="17" fontId="35" fillId="6" borderId="0" xfId="30" applyNumberFormat="1" applyFont="1" applyFill="1" applyBorder="1" applyAlignment="1">
      <alignment horizontal="center"/>
      <protection/>
    </xf>
    <xf numFmtId="17" fontId="35" fillId="6" borderId="0" xfId="30" applyNumberFormat="1" applyFont="1" applyFill="1" applyAlignment="1">
      <alignment horizontal="center"/>
      <protection/>
    </xf>
    <xf numFmtId="168" fontId="26" fillId="6" borderId="0" xfId="30" applyNumberFormat="1" applyFont="1" applyFill="1" applyBorder="1" applyAlignment="1">
      <alignment horizontal="center"/>
      <protection/>
    </xf>
    <xf numFmtId="168" fontId="31" fillId="6" borderId="0" xfId="30" applyNumberFormat="1" applyFont="1" applyFill="1" applyBorder="1" applyAlignment="1">
      <alignment horizontal="center"/>
      <protection/>
    </xf>
    <xf numFmtId="168" fontId="31" fillId="6" borderId="0" xfId="30" applyNumberFormat="1" applyFont="1" applyFill="1" applyAlignment="1">
      <alignment horizontal="center"/>
      <protection/>
    </xf>
    <xf numFmtId="166" fontId="26" fillId="6" borderId="0" xfId="30" applyNumberFormat="1" applyFont="1" applyFill="1" applyBorder="1" applyAlignment="1">
      <alignment horizontal="right"/>
      <protection/>
    </xf>
    <xf numFmtId="166" fontId="26" fillId="6" borderId="0" xfId="30" applyNumberFormat="1" applyFont="1" applyFill="1" applyBorder="1">
      <alignment/>
      <protection/>
    </xf>
    <xf numFmtId="166" fontId="26" fillId="6" borderId="0" xfId="30" applyNumberFormat="1" applyFont="1" applyFill="1">
      <alignment/>
      <protection/>
    </xf>
    <xf numFmtId="168" fontId="25" fillId="6" borderId="2" xfId="30" applyNumberFormat="1" applyFont="1" applyFill="1" applyBorder="1" applyAlignment="1">
      <alignment horizontal="right"/>
      <protection/>
    </xf>
    <xf numFmtId="168" fontId="25" fillId="6" borderId="2" xfId="30" applyNumberFormat="1" applyFont="1" applyFill="1" applyBorder="1">
      <alignment/>
      <protection/>
    </xf>
    <xf numFmtId="168" fontId="26" fillId="6" borderId="7" xfId="30" applyNumberFormat="1" applyFont="1" applyFill="1" applyBorder="1">
      <alignment/>
      <protection/>
    </xf>
    <xf numFmtId="170" fontId="26" fillId="6" borderId="0" xfId="30" applyNumberFormat="1" applyFont="1" applyFill="1" applyBorder="1">
      <alignment/>
      <protection/>
    </xf>
    <xf numFmtId="170" fontId="26" fillId="6" borderId="0" xfId="30" applyNumberFormat="1" applyFont="1" applyFill="1">
      <alignment/>
      <protection/>
    </xf>
    <xf numFmtId="170" fontId="25" fillId="6" borderId="0" xfId="30" applyNumberFormat="1" applyFont="1" applyFill="1" applyBorder="1">
      <alignment/>
      <protection/>
    </xf>
    <xf numFmtId="170" fontId="25" fillId="6" borderId="0" xfId="30" applyNumberFormat="1" applyFont="1" applyFill="1">
      <alignment/>
      <protection/>
    </xf>
    <xf numFmtId="170" fontId="25" fillId="6" borderId="2" xfId="30" applyNumberFormat="1" applyFont="1" applyFill="1" applyBorder="1">
      <alignment/>
      <protection/>
    </xf>
    <xf numFmtId="170" fontId="26" fillId="6" borderId="7" xfId="30" applyNumberFormat="1" applyFont="1" applyFill="1" applyBorder="1">
      <alignment/>
      <protection/>
    </xf>
    <xf numFmtId="171" fontId="25" fillId="6" borderId="0" xfId="30" applyNumberFormat="1" applyFont="1" applyFill="1" applyBorder="1">
      <alignment/>
      <protection/>
    </xf>
    <xf numFmtId="171" fontId="25" fillId="6" borderId="0" xfId="30" applyNumberFormat="1" applyFont="1" applyFill="1">
      <alignment/>
      <protection/>
    </xf>
    <xf numFmtId="171" fontId="25" fillId="6" borderId="2" xfId="30" applyNumberFormat="1" applyFont="1" applyFill="1" applyBorder="1">
      <alignment/>
      <protection/>
    </xf>
    <xf numFmtId="171" fontId="26" fillId="6" borderId="7" xfId="30" applyNumberFormat="1" applyFont="1" applyFill="1" applyBorder="1">
      <alignment/>
      <protection/>
    </xf>
    <xf numFmtId="171" fontId="26" fillId="6" borderId="0" xfId="30" applyNumberFormat="1" applyFont="1" applyFill="1" applyBorder="1">
      <alignment/>
      <protection/>
    </xf>
    <xf numFmtId="171" fontId="26" fillId="6" borderId="0" xfId="30" applyNumberFormat="1" applyFont="1" applyFill="1">
      <alignment/>
      <protection/>
    </xf>
    <xf numFmtId="173" fontId="26" fillId="6" borderId="0" xfId="30" applyNumberFormat="1" applyFont="1" applyFill="1" applyBorder="1">
      <alignment/>
      <protection/>
    </xf>
    <xf numFmtId="173" fontId="26" fillId="6" borderId="0" xfId="30" applyNumberFormat="1" applyFont="1" applyFill="1">
      <alignment/>
      <protection/>
    </xf>
    <xf numFmtId="168" fontId="25" fillId="6" borderId="0" xfId="30" applyNumberFormat="1" applyFont="1" applyFill="1" applyBorder="1">
      <alignment/>
      <protection/>
    </xf>
    <xf numFmtId="168" fontId="25" fillId="6" borderId="0" xfId="30" applyNumberFormat="1" applyFont="1" applyFill="1">
      <alignment/>
      <protection/>
    </xf>
    <xf numFmtId="171" fontId="26" fillId="6" borderId="0" xfId="30" applyNumberFormat="1" applyFont="1" applyFill="1" applyBorder="1" applyAlignment="1">
      <alignment horizontal="center"/>
      <protection/>
    </xf>
    <xf numFmtId="166" fontId="26" fillId="6" borderId="0" xfId="30" applyNumberFormat="1" applyFont="1" applyFill="1" applyBorder="1" applyAlignment="1">
      <alignment horizontal="center"/>
      <protection/>
    </xf>
    <xf numFmtId="171" fontId="25" fillId="6" borderId="0" xfId="30" applyNumberFormat="1" applyFont="1" applyFill="1" applyBorder="1" applyAlignment="1">
      <alignment horizontal="center"/>
      <protection/>
    </xf>
    <xf numFmtId="181" fontId="26" fillId="6" borderId="0" xfId="30" applyNumberFormat="1" applyFont="1" applyFill="1" applyBorder="1" applyAlignment="1">
      <alignment horizontal="right"/>
      <protection/>
    </xf>
    <xf numFmtId="181" fontId="26" fillId="6" borderId="0" xfId="30" applyNumberFormat="1" applyFont="1" applyFill="1" applyAlignment="1">
      <alignment horizontal="right"/>
      <protection/>
    </xf>
    <xf numFmtId="168" fontId="26" fillId="6" borderId="0" xfId="30" applyNumberFormat="1" applyFont="1" applyFill="1" applyBorder="1">
      <alignment/>
      <protection/>
    </xf>
    <xf numFmtId="168" fontId="26" fillId="6" borderId="0" xfId="30" applyNumberFormat="1" applyFont="1" applyFill="1">
      <alignment/>
      <protection/>
    </xf>
    <xf numFmtId="170" fontId="25" fillId="6" borderId="0" xfId="30" applyNumberFormat="1" applyFont="1" applyFill="1" applyBorder="1" applyAlignment="1">
      <alignment horizontal="right"/>
      <protection/>
    </xf>
    <xf numFmtId="170" fontId="25" fillId="6" borderId="0" xfId="30" applyNumberFormat="1" applyFont="1" applyFill="1" applyAlignment="1">
      <alignment horizontal="right"/>
      <protection/>
    </xf>
    <xf numFmtId="170" fontId="25" fillId="6" borderId="2" xfId="30" applyNumberFormat="1" applyFont="1" applyFill="1" applyBorder="1" applyAlignment="1">
      <alignment horizontal="right"/>
      <protection/>
    </xf>
    <xf numFmtId="170" fontId="26" fillId="6" borderId="7" xfId="30" applyNumberFormat="1" applyFont="1" applyFill="1" applyBorder="1" applyAlignment="1">
      <alignment horizontal="right"/>
      <protection/>
    </xf>
    <xf numFmtId="171" fontId="25" fillId="6" borderId="0" xfId="30" applyNumberFormat="1" applyFont="1" applyFill="1" applyBorder="1" applyAlignment="1">
      <alignment horizontal="right"/>
      <protection/>
    </xf>
    <xf numFmtId="171" fontId="25" fillId="6" borderId="0" xfId="30" applyNumberFormat="1" applyFont="1" applyFill="1" applyAlignment="1">
      <alignment horizontal="right"/>
      <protection/>
    </xf>
    <xf numFmtId="166" fontId="26" fillId="6" borderId="0" xfId="30" applyNumberFormat="1" applyFont="1" applyFill="1" applyAlignment="1">
      <alignment horizontal="right"/>
      <protection/>
    </xf>
    <xf numFmtId="174" fontId="25" fillId="6" borderId="0" xfId="30" applyNumberFormat="1" applyFont="1" applyFill="1" applyBorder="1" applyAlignment="1">
      <alignment horizontal="right"/>
      <protection/>
    </xf>
    <xf numFmtId="174" fontId="25" fillId="6" borderId="0" xfId="30" applyNumberFormat="1" applyFont="1" applyFill="1" applyAlignment="1">
      <alignment horizontal="right"/>
      <protection/>
    </xf>
  </cellXfs>
  <cellStyles count="20">
    <cellStyle name="Normal" xfId="0" builtinId="0"/>
    <cellStyle name="Percent" xfId="15"/>
    <cellStyle name="Currency" xfId="16"/>
    <cellStyle name="Currency [0]" xfId="17"/>
    <cellStyle name="Comma" xfId="18"/>
    <cellStyle name="Comma [0]" xfId="19"/>
    <cellStyle name="Currency 2" xfId="20"/>
    <cellStyle name="Currency 2 2" xfId="21"/>
    <cellStyle name="Currency 2 3" xfId="22"/>
    <cellStyle name="Good" xfId="23"/>
    <cellStyle name="Hyperlink" xfId="24"/>
    <cellStyle name="Hyperlink 2" xfId="25"/>
    <cellStyle name="Normal 2" xfId="26"/>
    <cellStyle name="Normal 2 2" xfId="27"/>
    <cellStyle name="Normal 3" xfId="28"/>
    <cellStyle name="Normal 3 2" xfId="29"/>
    <cellStyle name="Normal 4" xfId="30"/>
    <cellStyle name="Normal 5" xfId="31"/>
    <cellStyle name="Percent 2" xfId="32"/>
    <cellStyle name="Percent 2 2" xfId="33"/>
  </cellStyles>
  <dxfs count="11">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ont>
        <color rgb="FFF2F2F2"/>
      </font>
      <fill>
        <patternFill>
          <bgColor rgb="FFF2F2F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4" Type="http://schemas.openxmlformats.org/officeDocument/2006/relationships/worksheet" Target="worksheets/sheet2.xml" /><Relationship Id="rId5" Type="http://schemas.openxmlformats.org/officeDocument/2006/relationships/worksheet" Target="worksheets/sheet3.xml" /><Relationship Id="rId10" Type="http://schemas.openxmlformats.org/officeDocument/2006/relationships/customXml" Target="../customXml/item2.xml" /><Relationship Id="rId3" Type="http://schemas.openxmlformats.org/officeDocument/2006/relationships/worksheet" Target="worksheets/sheet1.xml" /><Relationship Id="rId11" Type="http://schemas.openxmlformats.org/officeDocument/2006/relationships/calcChain" Target="calcChain.xml" /><Relationship Id="rId2" Type="http://schemas.openxmlformats.org/officeDocument/2006/relationships/styles" Target="styles.xml" /><Relationship Id="rId6" Type="http://schemas.openxmlformats.org/officeDocument/2006/relationships/worksheet" Target="worksheets/sheet4.xml" /><Relationship Id="rId1" Type="http://schemas.openxmlformats.org/officeDocument/2006/relationships/theme" Target="theme/theme1.xml" /><Relationship Id="rId7" Type="http://schemas.openxmlformats.org/officeDocument/2006/relationships/worksheet" Target="worksheets/sheet5.xml" /><Relationship Id="rId8" Type="http://schemas.openxmlformats.org/officeDocument/2006/relationships/sharedStrings" Target="sharedStrings.xml" /><Relationship Id="rId9" Type="http://schemas.openxmlformats.org/officeDocument/2006/relationships/customXml" Target="../customXml/item1.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s>
</file>

<file path=xl/drawings/_rels/drawing2.xml.rels><?xml version="1.0" encoding="UTF-8" standalone="yes"?><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2</xdr:col>
      <xdr:colOff>0</xdr:colOff>
      <xdr:row>5</xdr:row>
      <xdr:rowOff>0</xdr:rowOff>
    </xdr:from>
    <xdr:to>
      <xdr:col>3</xdr:col>
      <xdr:colOff>885825</xdr:colOff>
      <xdr:row>7</xdr:row>
      <xdr:rowOff>76200</xdr:rowOff>
    </xdr:to>
    <xdr:pic>
      <xdr:nvPicPr>
        <xdr:cNvPr id="8" name="TegusBrandLogo">
          <a:extLst>
            <a:ext uri="{FF2B5EF4-FFF2-40B4-BE49-F238E27FC236}">
              <a16:creationId xmlns:a16="http://schemas.microsoft.com/office/drawing/2014/main" id="{758dbf8c-74a2-4d7d-b50c-6d0e05a80777}"/>
            </a:ext>
          </a:extLst>
        </xdr:cNvPr>
        <xdr:cNvPicPr>
          <a:picLocks noChangeAspect="1"/>
        </xdr:cNvPicPr>
      </xdr:nvPicPr>
      <xdr:blipFill>
        <a:blip r:embed="rId1"/>
        <a:stretch>
          <a:fillRect/>
        </a:stretch>
      </xdr:blipFill>
      <xdr:spPr>
        <a:xfrm>
          <a:off x="895350" y="952500"/>
          <a:ext cx="1571625" cy="552450"/>
        </a:xfrm>
        <a:prstGeom prst="rect"/>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2</xdr:col>
      <xdr:colOff>0</xdr:colOff>
      <xdr:row>5</xdr:row>
      <xdr:rowOff>0</xdr:rowOff>
    </xdr:from>
    <xdr:to>
      <xdr:col>3</xdr:col>
      <xdr:colOff>419100</xdr:colOff>
      <xdr:row>7</xdr:row>
      <xdr:rowOff>76200</xdr:rowOff>
    </xdr:to>
    <xdr:pic>
      <xdr:nvPicPr>
        <xdr:cNvPr id="9" name="TegusBrandLogo">
          <a:extLst>
            <a:ext uri="{FF2B5EF4-FFF2-40B4-BE49-F238E27FC236}">
              <a16:creationId xmlns:a16="http://schemas.microsoft.com/office/drawing/2014/main" id="{d7c0f517-5bf4-4660-b7fc-768162d31a2e}"/>
            </a:ext>
          </a:extLst>
        </xdr:cNvPr>
        <xdr:cNvPicPr>
          <a:picLocks noChangeAspect="1"/>
        </xdr:cNvPicPr>
      </xdr:nvPicPr>
      <xdr:blipFill>
        <a:blip r:embed="rId1"/>
        <a:stretch>
          <a:fillRect/>
        </a:stretch>
      </xdr:blipFill>
      <xdr:spPr>
        <a:xfrm>
          <a:off x="942975" y="952500"/>
          <a:ext cx="1466850" cy="504825"/>
        </a:xfrm>
        <a:prstGeom prst="rec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hyperlink" Target="mailto:support@canalyst.com?subject=Canalyst%20Support:%20American%20Financial%20Group,%20Inc.%20AFG%20US&amp;body=Model%20Version:%20Q3-2018.21" TargetMode="External" /><Relationship Id="rId4" Type="http://schemas.openxmlformats.org/officeDocument/2006/relationships/drawing" Target="../drawings/drawing1.xml" /><Relationship Id="rId2" Type="http://schemas.openxmlformats.org/officeDocument/2006/relationships/hyperlink" Target="mailto:support@canalyst.com?subject=Canalyst%20Support:%20American%20Financial%20Group,%20Inc.%20AFG%20US&amp;body=Model%20Version:%20Q1-2019.21" TargetMode="External" /><Relationship Id="rId3" Type="http://schemas.openxmlformats.org/officeDocument/2006/relationships/hyperlink" Target="https://app.tegus.co/app/account/excel-add-in" TargetMode="External" /></Relationships>
</file>

<file path=xl/worksheets/_rels/sheet2.xml.rels><?xml version="1.0" encoding="UTF-8" standalone="yes"?><Relationships xmlns="http://schemas.openxmlformats.org/package/2006/relationships"><Relationship Id="rId1" Type="http://schemas.openxmlformats.org/officeDocument/2006/relationships/hyperlink" Target="http://ir.afginc.com/phoenix.zhtml?c=89330&amp;p=irol-irhome" TargetMode="External" /><Relationship Id="rId4" Type="http://schemas.openxmlformats.org/officeDocument/2006/relationships/printerSettings" Target="../printerSettings/printerSettings1.bin" /><Relationship Id="rId2" Type="http://schemas.openxmlformats.org/officeDocument/2006/relationships/comments" Target="../comments2.xml" /><Relationship Id="rId3" Type="http://schemas.openxmlformats.org/officeDocument/2006/relationships/vmlDrawing" Target="../drawings/vmlDrawing1.vml" /></Relationships>
</file>

<file path=xl/worksheets/_rels/sheet3.xml.rels><?xml version="1.0" encoding="UTF-8" standalone="yes"?><Relationships xmlns="http://schemas.openxmlformats.org/package/2006/relationships"><Relationship Id="rId28" Type="http://schemas.openxmlformats.org/officeDocument/2006/relationships/vmlDrawing" Target="../drawings/vmlDrawing2.vml" /><Relationship Id="rId2" Type="http://schemas.openxmlformats.org/officeDocument/2006/relationships/hyperlink" Target="https://www.sec.gov/Archives/edgar/data/1042046/000119312518236417/d592202dex991.htm" TargetMode="External" /><Relationship Id="rId9" Type="http://schemas.openxmlformats.org/officeDocument/2006/relationships/hyperlink" Target="https://www.afginc.com/news-releases/news-release-details/american-financial-group-inc-announces-fourth-quarter-and-full-2" TargetMode="External" /><Relationship Id="rId1" Type="http://schemas.openxmlformats.org/officeDocument/2006/relationships/hyperlink" Target="https://ir.afginc.com/news-releases/news-release-details/american-financial-group-inc-announces-third-quarter-results-2" TargetMode="External" /><Relationship Id="rId18" Type="http://schemas.openxmlformats.org/officeDocument/2006/relationships/hyperlink" Target="https://www.afginc.com/node/24951/pdf" TargetMode="External" /><Relationship Id="rId3" Type="http://schemas.openxmlformats.org/officeDocument/2006/relationships/hyperlink" Target="https://www.sec.gov/Archives/edgar/data/1042046/000119312518150455/d582876dex991.htm" TargetMode="External" /><Relationship Id="rId7" Type="http://schemas.openxmlformats.org/officeDocument/2006/relationships/hyperlink" Target="https://ir.afginc.com/news-releases/news-release-details/american-financial-group-inc-announces-second-quarter-results-2" TargetMode="External" /><Relationship Id="rId8" Type="http://schemas.openxmlformats.org/officeDocument/2006/relationships/hyperlink" Target="https://www.afginc.com/news-releases/news-release-details/american-financial-group-inc-announces-third-quarter-results-4" TargetMode="External" /><Relationship Id="rId19" Type="http://schemas.openxmlformats.org/officeDocument/2006/relationships/hyperlink" Target="https://ir.afginc.com/news-releases/news-release-details/american-financial-group-inc-announces-first-quarter-results-9" TargetMode="External" /><Relationship Id="rId5" Type="http://schemas.openxmlformats.org/officeDocument/2006/relationships/hyperlink" Target="https://www.sec.gov/Archives/edgar/data/1042046/000119312517329177/d486839dex991.htm" TargetMode="External" /><Relationship Id="rId16" Type="http://schemas.openxmlformats.org/officeDocument/2006/relationships/hyperlink" Target="https://ir.afginc.com/news-releases/news-release-details/american-financial-group-inc-announces-second-quarter-results-5" TargetMode="External" /><Relationship Id="rId11" Type="http://schemas.openxmlformats.org/officeDocument/2006/relationships/hyperlink" Target="https://ir.afginc.com/news-releases/news-release-details/american-financial-group-inc-announces-second-quarter-results-4" TargetMode="External" /><Relationship Id="rId26" Type="http://schemas.openxmlformats.org/officeDocument/2006/relationships/hyperlink" Target="https://ir.afginc.com/news-releases/news-release-details/american-financial-group-inc-announces-fourth-quarter-and-full-6" TargetMode="External" /><Relationship Id="rId6" Type="http://schemas.openxmlformats.org/officeDocument/2006/relationships/hyperlink" Target="https://ir.afginc.com/news-releases/news-release-details/american-financial-group-inc-announces-first-quarter-results-6" TargetMode="External" /><Relationship Id="rId12" Type="http://schemas.openxmlformats.org/officeDocument/2006/relationships/hyperlink" Target="https://ir.afginc.com/news-releases/news-release-details/american-financial-group-inc-announces-third-quarter-results-5" TargetMode="External" /><Relationship Id="rId13" Type="http://schemas.openxmlformats.org/officeDocument/2006/relationships/hyperlink" Target="https://ir.afginc.com/news-releases/news-release-details/american-financial-group-inc-announces-fourth-quarter-and-full-3" TargetMode="External" /><Relationship Id="rId21" Type="http://schemas.openxmlformats.org/officeDocument/2006/relationships/hyperlink" Target="https://ir.afginc.com/node/25471/pdf" TargetMode="External" /><Relationship Id="rId24" Type="http://schemas.openxmlformats.org/officeDocument/2006/relationships/hyperlink" Target="https://ir.afginc.com/news-releases/news-release-details/american-financial-group-inc-announces-second-quarter-results-7" TargetMode="External" /><Relationship Id="rId22" Type="http://schemas.openxmlformats.org/officeDocument/2006/relationships/hyperlink" Target="https://www.afginc.com/news-releases/news-release-details/american-financial-group-inc-announces-fourth-quarter-and-full-5" TargetMode="External" /><Relationship Id="rId10" Type="http://schemas.openxmlformats.org/officeDocument/2006/relationships/hyperlink" Target="https://ir.afginc.com/news-releases/news-release-details/american-financial-group-inc-announces-first-quarter-results-7" TargetMode="External" /><Relationship Id="rId23" Type="http://schemas.openxmlformats.org/officeDocument/2006/relationships/hyperlink" Target="https://www.afginc.com/node/25901/pdf" TargetMode="External" /><Relationship Id="rId27" Type="http://schemas.openxmlformats.org/officeDocument/2006/relationships/comments" Target="../comments3.xml" /><Relationship Id="rId15" Type="http://schemas.openxmlformats.org/officeDocument/2006/relationships/hyperlink" Target="https://ir.afginc.com/news-releases/news-release-details/american-financial-group-inc-announces-first-quarter-results-8" TargetMode="External" /><Relationship Id="rId17" Type="http://schemas.openxmlformats.org/officeDocument/2006/relationships/hyperlink" Target="https://ir.afginc.com/node/24741/pdf" TargetMode="External" /><Relationship Id="rId14" Type="http://schemas.openxmlformats.org/officeDocument/2006/relationships/hyperlink" Target="https://ir.afginc.com/news-releases/news-release-details/american-financial-group-inc-announces-fourth-quarter-and-full-3" TargetMode="External" /><Relationship Id="rId25" Type="http://schemas.openxmlformats.org/officeDocument/2006/relationships/hyperlink" Target="https://ir.afginc.com/news-releases/news-release-details/american-financial-group-inc-announces-third-quarter-results-7" TargetMode="External" /><Relationship Id="rId4" Type="http://schemas.openxmlformats.org/officeDocument/2006/relationships/hyperlink" Target="http://ir.afginc.com/phoenix.zhtml?c=89330&amp;p=irol-newsArticle&amp;ID=2329589" TargetMode="External" /><Relationship Id="rId20" Type="http://schemas.openxmlformats.org/officeDocument/2006/relationships/hyperlink" Target="https://ir.afginc.com/news-releases/news-release-details/correcting-and-replacing-american-financial-group-inc-announces" TargetMode="External" /></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_rels/sheet5.xml.rels><?xml version="1.0" encoding="UTF-8" standalone="yes"?><Relationships xmlns="http://schemas.openxmlformats.org/package/2006/relationships"><Relationship Id="rId28" Type="http://schemas.openxmlformats.org/officeDocument/2006/relationships/hyperlink" Target="https://www.afginc.com/news-releases/news-release-details/american-financial-group-inc-announces-fourth-quarter-and-full-5" TargetMode="External" /><Relationship Id="rId2" Type="http://schemas.openxmlformats.org/officeDocument/2006/relationships/hyperlink" Target="https://ir.afginc.com/news-releases/news-release-details/american-financial-group-inc-announces-record-second-quarter-0" TargetMode="External" /><Relationship Id="rId9" Type="http://schemas.openxmlformats.org/officeDocument/2006/relationships/hyperlink" Target="http://ir.afginc.com/news-releases/news-release-details/american-financial-group-inc-announces-second-quarter-results-2" TargetMode="External" /><Relationship Id="rId1" Type="http://schemas.openxmlformats.org/officeDocument/2006/relationships/hyperlink" Target="https://ir.afginc.com/news-releases/news-release-details/american-financial-group-inc-announces-third-quarter-results-2" TargetMode="External" /><Relationship Id="rId18" Type="http://schemas.openxmlformats.org/officeDocument/2006/relationships/hyperlink" Target="https://ir.afginc.com/news-releases/news-release-details/american-financial-group-inc-announces-second-quarter-results-5" TargetMode="External" /><Relationship Id="rId3" Type="http://schemas.openxmlformats.org/officeDocument/2006/relationships/hyperlink" Target="https://ir.afginc.com/news-releases/news-release-details/american-financial-group-inc-announces-first-quarter-results-5" TargetMode="External" /><Relationship Id="rId7" Type="http://schemas.openxmlformats.org/officeDocument/2006/relationships/hyperlink" Target="https://ir.afginc.com/news-releases/news-release-details/american-financial-group-inc-announces-fourth-quarter-and-full-0" TargetMode="External" /><Relationship Id="rId39" Type="http://schemas.openxmlformats.org/officeDocument/2006/relationships/hyperlink" Target="https://www.afginc.com/news-releases/news-release-details/american-financial-group-inc-announces-second-quarter-results-8" TargetMode="External" /><Relationship Id="rId35" Type="http://schemas.openxmlformats.org/officeDocument/2006/relationships/hyperlink" Target="https://ir.afginc.com/news-releases/news-release-details/american-financial-group-inc-announces-fourth-quarter-and-full-6" TargetMode="External" /><Relationship Id="rId8" Type="http://schemas.openxmlformats.org/officeDocument/2006/relationships/hyperlink" Target="https://ir.afginc.com/news-releases/news-release-details/american-financial-group-inc-announces-first-quarter-results-6" TargetMode="External" /><Relationship Id="rId19" Type="http://schemas.openxmlformats.org/officeDocument/2006/relationships/hyperlink" Target="https://ir.afginc.com/node/24741/pdf" TargetMode="External" /><Relationship Id="rId5" Type="http://schemas.openxmlformats.org/officeDocument/2006/relationships/hyperlink" Target="http://ir.afginc.com/phoenix.zhtml?c=89330&amp;p=irol-newsArticle&amp;ID=2313019" TargetMode="External" /><Relationship Id="rId37" Type="http://schemas.openxmlformats.org/officeDocument/2006/relationships/hyperlink" Target="https://www.afginc.com/news-releases/news-release-details/american-financial-group-inc-announces-first-quarter-results-11" TargetMode="External" /><Relationship Id="rId16" Type="http://schemas.openxmlformats.org/officeDocument/2006/relationships/hyperlink" Target="https://ir.afginc.com/news-releases/news-release-details/american-financial-group-inc-announces-first-quarter-results-8" TargetMode="External" /><Relationship Id="rId11" Type="http://schemas.openxmlformats.org/officeDocument/2006/relationships/hyperlink" Target="https://www.afginc.com/news-releases/news-release-details/american-financial-group-inc-announces-fourth-quarter-and-full-2" TargetMode="External" /><Relationship Id="rId42" Type="http://schemas.openxmlformats.org/officeDocument/2006/relationships/drawing" Target="../drawings/drawing2.xml" /><Relationship Id="rId38" Type="http://schemas.openxmlformats.org/officeDocument/2006/relationships/hyperlink" Target="https://www.afginc.com/news-releases/news-release-details/american-financial-group-inc-announces-first-quarter-results-11" TargetMode="External" /><Relationship Id="rId26" Type="http://schemas.openxmlformats.org/officeDocument/2006/relationships/hyperlink" Target="https://ir.afginc.com/node/25471/pdf" TargetMode="External" /><Relationship Id="rId6" Type="http://schemas.openxmlformats.org/officeDocument/2006/relationships/hyperlink" Target="http://ir.afginc.com/phoenix.zhtml?c=89330&amp;p=irol-newsArticle&amp;ID=2290823" TargetMode="External" /><Relationship Id="rId40" Type="http://schemas.openxmlformats.org/officeDocument/2006/relationships/hyperlink" Target="https://www.afginc.com/news-releases/news-release-details/american-financial-group-inc-announces-second-quarter-results-8" TargetMode="External" /><Relationship Id="rId12" Type="http://schemas.openxmlformats.org/officeDocument/2006/relationships/hyperlink" Target="https://ir.afginc.com/news-releases/news-release-details/american-financial-group-inc-announces-first-quarter-results-7" TargetMode="External" /><Relationship Id="rId13" Type="http://schemas.openxmlformats.org/officeDocument/2006/relationships/hyperlink" Target="https://ir.afginc.com/news-releases/news-release-details/american-financial-group-inc-announces-second-quarter-results-4" TargetMode="External" /><Relationship Id="rId21" Type="http://schemas.openxmlformats.org/officeDocument/2006/relationships/hyperlink" Target="https://www.afginc.com/node/24951/pdf" TargetMode="External" /><Relationship Id="rId24" Type="http://schemas.openxmlformats.org/officeDocument/2006/relationships/hyperlink" Target="https://ir.afginc.com/news-releases/news-release-details/correcting-and-replacing-american-financial-group-inc-announces" TargetMode="External" /><Relationship Id="rId22" Type="http://schemas.openxmlformats.org/officeDocument/2006/relationships/hyperlink" Target="https://www.afginc.com/node/24951/pdf" TargetMode="External" /><Relationship Id="rId36" Type="http://schemas.openxmlformats.org/officeDocument/2006/relationships/hyperlink" Target="https://ir.afginc.com/news-releases/news-release-details/american-financial-group-inc-announces-fourth-quarter-and-full-6" TargetMode="External" /><Relationship Id="rId41" Type="http://schemas.openxmlformats.org/officeDocument/2006/relationships/hyperlink" Target="https://ir.afginc.com/news-releases/news-release-details/american-financial-group-inc-announces-third-quarter-results-8" TargetMode="External" /><Relationship Id="rId34" Type="http://schemas.openxmlformats.org/officeDocument/2006/relationships/hyperlink" Target="https://ir.afginc.com/news-releases/news-release-details/american-financial-group-inc-announces-third-quarter-results-7" TargetMode="External" /><Relationship Id="rId10" Type="http://schemas.openxmlformats.org/officeDocument/2006/relationships/hyperlink" Target="https://www.afginc.com/news-releases/news-release-details/american-financial-group-inc-announces-third-quarter-results-4" TargetMode="External" /><Relationship Id="rId32" Type="http://schemas.openxmlformats.org/officeDocument/2006/relationships/hyperlink" Target="https://ir.afginc.com/news-releases/news-release-details/american-financial-group-inc-announces-second-quarter-results-7" TargetMode="External" /><Relationship Id="rId31" Type="http://schemas.openxmlformats.org/officeDocument/2006/relationships/hyperlink" Target="https://www.afginc.com/news-releases/news-release-details/american-financial-group-inc-announces-first-quarter-results-10" TargetMode="External" /><Relationship Id="rId23" Type="http://schemas.openxmlformats.org/officeDocument/2006/relationships/hyperlink" Target="https://ir.afginc.com/news-releases/news-release-details/american-financial-group-inc-announces-first-quarter-results-9" TargetMode="External" /><Relationship Id="rId30" Type="http://schemas.openxmlformats.org/officeDocument/2006/relationships/hyperlink" Target="https://www.afginc.com/news-releases/news-release-details/american-financial-group-inc-announces-first-quarter-results-10" TargetMode="External" /><Relationship Id="rId27" Type="http://schemas.openxmlformats.org/officeDocument/2006/relationships/hyperlink" Target="https://ir.afginc.com/node/25471/pdf" TargetMode="External" /><Relationship Id="rId29" Type="http://schemas.openxmlformats.org/officeDocument/2006/relationships/hyperlink" Target="https://www.afginc.com/news-releases/news-release-details/american-financial-group-inc-announces-fourth-quarter-and-full-5" TargetMode="External" /><Relationship Id="rId15" Type="http://schemas.openxmlformats.org/officeDocument/2006/relationships/hyperlink" Target="https://ir.afginc.com/news-releases/news-release-details/american-financial-group-inc-announces-fourth-quarter-and-full-3" TargetMode="External" /><Relationship Id="rId17" Type="http://schemas.openxmlformats.org/officeDocument/2006/relationships/hyperlink" Target="https://ir.afginc.com/news-releases/news-release-details/american-financial-group-inc-announces-second-quarter-results-5" TargetMode="External" /><Relationship Id="rId14" Type="http://schemas.openxmlformats.org/officeDocument/2006/relationships/hyperlink" Target="https://ir.afginc.com/news-releases/news-release-details/american-financial-group-inc-announces-third-quarter-results-5" TargetMode="External" /><Relationship Id="rId25" Type="http://schemas.openxmlformats.org/officeDocument/2006/relationships/hyperlink" Target="https://ir.afginc.com/news-releases/news-release-details/correcting-and-replacing-american-financial-group-inc-announces" TargetMode="External" /><Relationship Id="rId4" Type="http://schemas.openxmlformats.org/officeDocument/2006/relationships/hyperlink" Target="http://ir.afginc.com/phoenix.zhtml?c=89330&amp;p=irol-newsArticle&amp;ID=2329589" TargetMode="External" /><Relationship Id="rId20" Type="http://schemas.openxmlformats.org/officeDocument/2006/relationships/hyperlink" Target="https://ir.afginc.com/node/24741/pdf" TargetMode="External" /><Relationship Id="rId33" Type="http://schemas.openxmlformats.org/officeDocument/2006/relationships/hyperlink" Target="https://ir.afginc.com/news-releases/news-release-details/american-financial-group-inc-announces-second-quarter-results-7"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C28ECFD8-80E3-476A-9F0E-20FBE98E1030}">
  <sheetPr codeName="Sheet5">
    <pageSetUpPr fitToPage="1"/>
  </sheetPr>
  <dimension ref="A1:AG67"/>
  <sheetViews>
    <sheetView showGridLines="0" tabSelected="1" zoomScaleSheetLayoutView="100" zoomScalePageLayoutView="97" workbookViewId="0" topLeftCell="A1"/>
  </sheetViews>
  <sheetFormatPr defaultColWidth="8.71428571428571" defaultRowHeight="15"/>
  <cols>
    <col min="1" max="1" width="5.71428571428571" style="15" customWidth="1"/>
    <col min="2" max="2" width="7.71428571428571" style="15" customWidth="1"/>
    <col min="3" max="3" width="10.2857142857143" style="15" customWidth="1"/>
    <col min="4" max="4" width="13.7142857142857" style="15" customWidth="1"/>
    <col min="5" max="5" width="5.42857142857143" style="15" customWidth="1"/>
    <col min="6" max="6" width="13.7142857142857" style="15" customWidth="1"/>
    <col min="7" max="7" width="6.71428571428571" style="15" customWidth="1"/>
    <col min="8" max="8" width="31.7142857142857" style="15" customWidth="1"/>
    <col min="9" max="15" width="8.71428571428571" style="15" customWidth="1"/>
    <col min="16" max="16" width="45.7142857142857" style="15" customWidth="1"/>
    <col min="17" max="17" width="8.71428571428571" style="15" customWidth="1"/>
    <col min="18" max="16384" width="8.71428571428571" style="15"/>
  </cols>
  <sheetData>
    <row r="1" spans="1:23" ht="15">
      <c r="A1" s="819"/>
      <c r="B1" s="820"/>
      <c r="C1" s="820"/>
      <c r="D1" s="820"/>
      <c r="E1" s="820"/>
      <c r="F1" s="820"/>
      <c r="G1" s="820"/>
      <c r="H1" s="820"/>
      <c r="I1" s="820"/>
      <c r="J1" s="820"/>
      <c r="K1" s="820"/>
      <c r="L1" s="820"/>
      <c r="M1" s="820"/>
      <c r="N1" s="820"/>
      <c r="O1" s="820"/>
      <c r="P1" s="820"/>
      <c r="Q1" s="820"/>
      <c r="R1" s="820"/>
      <c r="S1" s="820"/>
      <c r="T1" s="820"/>
      <c r="U1" s="820"/>
      <c r="V1" s="820"/>
      <c r="W1" s="820"/>
    </row>
    <row r="2" spans="1:23" ht="15">
      <c r="A2" s="820"/>
      <c r="B2" s="820"/>
      <c r="C2" s="820"/>
      <c r="D2" s="820"/>
      <c r="E2" s="820"/>
      <c r="F2" s="820"/>
      <c r="G2" s="820"/>
      <c r="H2" s="820"/>
      <c r="I2" s="820"/>
      <c r="J2" s="820"/>
      <c r="K2" s="820"/>
      <c r="L2" s="820"/>
      <c r="M2" s="820"/>
      <c r="N2" s="820"/>
      <c r="O2" s="820"/>
      <c r="P2" s="820"/>
      <c r="Q2" s="820"/>
      <c r="R2" s="820"/>
      <c r="S2" s="820"/>
      <c r="T2" s="820"/>
      <c r="U2" s="820"/>
      <c r="V2" s="820"/>
      <c r="W2" s="820"/>
    </row>
    <row r="3" spans="1:23" ht="15">
      <c r="A3" s="820"/>
      <c r="B3" s="820"/>
      <c r="C3" s="820"/>
      <c r="D3" s="820"/>
      <c r="E3" s="820"/>
      <c r="F3" s="820"/>
      <c r="G3" s="820"/>
      <c r="H3" s="820"/>
      <c r="I3" s="820"/>
      <c r="J3" s="820"/>
      <c r="K3" s="820"/>
      <c r="L3" s="820"/>
      <c r="M3" s="820"/>
      <c r="N3" s="820"/>
      <c r="O3" s="820"/>
      <c r="P3" s="820"/>
      <c r="Q3" s="820"/>
      <c r="R3" s="820"/>
      <c r="S3" s="820"/>
      <c r="T3" s="820"/>
      <c r="U3" s="820"/>
      <c r="V3" s="820"/>
      <c r="W3" s="820"/>
    </row>
    <row r="4" spans="1:23" ht="15">
      <c r="A4" s="820"/>
      <c r="B4" s="820"/>
      <c r="C4" s="820"/>
      <c r="D4" s="820"/>
      <c r="E4" s="820"/>
      <c r="F4" s="820"/>
      <c r="G4" s="820"/>
      <c r="H4" s="820"/>
      <c r="I4" s="820"/>
      <c r="J4" s="820"/>
      <c r="K4" s="820"/>
      <c r="L4" s="820"/>
      <c r="M4" s="820"/>
      <c r="N4" s="820"/>
      <c r="O4" s="820"/>
      <c r="P4" s="820"/>
      <c r="Q4" s="820"/>
      <c r="R4" s="820"/>
      <c r="S4" s="820"/>
      <c r="T4" s="820"/>
      <c r="U4" s="820"/>
      <c r="V4" s="820"/>
      <c r="W4" s="820"/>
    </row>
    <row r="5" spans="1:23" ht="15">
      <c r="A5" s="820"/>
      <c r="B5" s="820"/>
      <c r="C5" s="820"/>
      <c r="D5" s="820"/>
      <c r="E5" s="820"/>
      <c r="F5" s="820"/>
      <c r="G5" s="820"/>
      <c r="H5" s="820"/>
      <c r="I5" s="820"/>
      <c r="J5" s="820"/>
      <c r="K5" s="820"/>
      <c r="L5" s="820"/>
      <c r="M5" s="820"/>
      <c r="N5" s="820"/>
      <c r="O5" s="820"/>
      <c r="P5" s="820"/>
      <c r="Q5" s="820"/>
      <c r="R5" s="820"/>
      <c r="S5" s="820"/>
      <c r="T5" s="820"/>
      <c r="U5" s="820"/>
      <c r="V5" s="820"/>
      <c r="W5" s="820"/>
    </row>
    <row r="6" spans="1:23" ht="18.75">
      <c r="A6" s="820"/>
      <c r="B6" s="820"/>
      <c r="C6" s="820"/>
      <c r="D6" s="820"/>
      <c r="E6" s="820"/>
      <c r="F6" s="820"/>
      <c r="G6" s="820"/>
      <c r="H6" s="820"/>
      <c r="I6" s="820"/>
      <c r="J6" s="820"/>
      <c r="K6" s="820"/>
      <c r="L6" s="820"/>
      <c r="M6" s="821" t="s">
        <v>0</v>
      </c>
      <c r="N6" s="820"/>
      <c r="O6" s="820"/>
      <c r="P6" s="820"/>
      <c r="Q6" s="820"/>
      <c r="R6" s="820"/>
      <c r="S6" s="820"/>
      <c r="T6" s="820"/>
      <c r="U6" s="820"/>
      <c r="V6" s="820"/>
      <c r="W6" s="820"/>
    </row>
    <row r="7" spans="1:23" ht="18.75">
      <c r="A7" s="820"/>
      <c r="B7" s="820"/>
      <c r="C7" s="820"/>
      <c r="D7" s="820"/>
      <c r="E7" s="820"/>
      <c r="F7" s="820"/>
      <c r="G7" s="820"/>
      <c r="H7" s="820"/>
      <c r="I7" s="820"/>
      <c r="J7" s="820"/>
      <c r="K7" s="820"/>
      <c r="L7" s="820"/>
      <c r="M7" s="1026" t="s">
        <v>1</v>
      </c>
      <c r="N7" s="1026"/>
      <c r="O7" s="1026"/>
      <c r="P7" s="820"/>
      <c r="Q7" s="820"/>
      <c r="R7" s="820"/>
      <c r="S7" s="820"/>
      <c r="T7" s="820"/>
      <c r="U7" s="820"/>
      <c r="V7" s="820"/>
      <c r="W7" s="820"/>
    </row>
    <row r="8" spans="1:23" ht="28.5">
      <c r="A8" s="820"/>
      <c r="B8" s="820"/>
      <c r="C8" s="820"/>
      <c r="D8" s="820"/>
      <c r="E8" s="820"/>
      <c r="F8" s="14"/>
      <c r="G8" s="14"/>
      <c r="H8" s="14"/>
      <c r="I8" s="14"/>
      <c r="J8" s="14"/>
      <c r="K8" s="14"/>
      <c r="L8" s="820"/>
      <c r="M8" s="820"/>
      <c r="N8" s="820"/>
      <c r="O8" s="820"/>
      <c r="P8" s="820"/>
      <c r="Q8" s="820"/>
      <c r="R8" s="820"/>
      <c r="S8" s="820"/>
      <c r="T8" s="820"/>
      <c r="U8" s="820"/>
      <c r="V8" s="820"/>
      <c r="W8" s="820"/>
    </row>
    <row r="9" spans="1:23" ht="18.75">
      <c r="A9" s="820"/>
      <c r="B9" s="820"/>
      <c r="C9" s="822" t="s">
        <v>2</v>
      </c>
      <c r="D9" s="823"/>
      <c r="E9" s="823"/>
      <c r="F9" s="823"/>
      <c r="G9" s="823"/>
      <c r="H9" s="824" t="str">
        <f>Model!A1</f>
        <v>American Financial Group, Inc.</v>
      </c>
      <c r="I9" s="823"/>
      <c r="J9" s="823"/>
      <c r="K9" s="823"/>
      <c r="L9" s="823"/>
      <c r="M9" s="929" t="s">
        <v>615</v>
      </c>
      <c r="N9" s="823"/>
      <c r="O9" s="823"/>
      <c r="Q9" s="820"/>
      <c r="R9" s="820"/>
      <c r="S9" s="820"/>
      <c r="T9" s="820"/>
      <c r="U9" s="820"/>
      <c r="V9" s="820"/>
      <c r="W9" s="820"/>
    </row>
    <row r="10" spans="1:23" ht="18.75">
      <c r="A10" s="820"/>
      <c r="B10" s="820"/>
      <c r="C10" s="825"/>
      <c r="D10" s="820"/>
      <c r="E10" s="820"/>
      <c r="F10" s="820"/>
      <c r="G10" s="820"/>
      <c r="H10" s="820"/>
      <c r="I10" s="820"/>
      <c r="J10" s="820"/>
      <c r="K10" s="820"/>
      <c r="L10" s="820"/>
      <c r="M10" s="930" t="s">
        <v>616</v>
      </c>
      <c r="N10" s="820"/>
      <c r="O10" s="820"/>
      <c r="Q10" s="820"/>
      <c r="R10" s="820"/>
      <c r="S10" s="820"/>
      <c r="T10" s="820"/>
      <c r="U10" s="820"/>
      <c r="V10" s="820"/>
      <c r="W10" s="820"/>
    </row>
    <row r="11" spans="1:23" ht="18.75">
      <c r="A11" s="820"/>
      <c r="B11" s="820"/>
      <c r="C11" s="822" t="s">
        <v>4</v>
      </c>
      <c r="D11" s="820"/>
      <c r="E11" s="820"/>
      <c r="F11" s="820"/>
      <c r="G11" s="820"/>
      <c r="H11" s="858">
        <f ca="1">OFFSET('Update Log'!$C$10,1,0,1,1)</f>
        <v>45630</v>
      </c>
      <c r="I11" s="820"/>
      <c r="J11" s="820"/>
      <c r="K11" s="820"/>
      <c r="L11" s="820"/>
      <c r="M11" s="820"/>
      <c r="N11" s="820"/>
      <c r="O11" s="820"/>
      <c r="Q11" s="820"/>
      <c r="R11" s="820"/>
      <c r="S11" s="820"/>
      <c r="T11" s="820"/>
      <c r="U11" s="820"/>
      <c r="V11" s="820"/>
      <c r="W11" s="820"/>
    </row>
    <row r="12" spans="1:23" ht="18.75">
      <c r="A12" s="820"/>
      <c r="B12" s="820"/>
      <c r="C12" s="820"/>
      <c r="D12" s="820"/>
      <c r="E12" s="820"/>
      <c r="F12" s="820"/>
      <c r="G12" s="820"/>
      <c r="H12" s="827"/>
      <c r="I12" s="820"/>
      <c r="J12" s="820"/>
      <c r="K12" s="820"/>
      <c r="L12" s="820"/>
      <c r="M12" s="822" t="s">
        <v>3</v>
      </c>
      <c r="N12" s="820"/>
      <c r="O12" s="820"/>
      <c r="Q12" s="820"/>
      <c r="R12" s="820"/>
      <c r="S12" s="820"/>
      <c r="T12" s="820"/>
      <c r="U12" s="820"/>
      <c r="V12" s="820"/>
      <c r="W12" s="820"/>
    </row>
    <row r="13" spans="1:23" ht="18.75">
      <c r="A13" s="820"/>
      <c r="B13" s="820"/>
      <c r="C13" s="822" t="s">
        <v>5</v>
      </c>
      <c r="D13" s="820"/>
      <c r="E13" s="820"/>
      <c r="F13" s="820"/>
      <c r="G13" s="820"/>
      <c r="H13" s="859" t="str">
        <f ca="1">OFFSET('Update Log'!$E$10,1,0,1,1)</f>
        <v>Quarterly (Earnings Report)</v>
      </c>
      <c r="I13" s="820"/>
      <c r="J13" s="820"/>
      <c r="K13" s="820"/>
      <c r="L13" s="820"/>
      <c r="M13" s="4"/>
      <c r="N13" s="3"/>
      <c r="O13" s="3"/>
      <c r="P13" s="2"/>
      <c r="Q13" s="820"/>
      <c r="R13" s="820"/>
      <c r="S13" s="820"/>
      <c r="T13" s="820"/>
      <c r="U13" s="820"/>
      <c r="V13" s="820"/>
      <c r="W13" s="820"/>
    </row>
    <row r="14" spans="1:23" ht="15">
      <c r="A14" s="820"/>
      <c r="B14" s="820"/>
      <c r="C14" s="820"/>
      <c r="D14" s="820"/>
      <c r="E14" s="820"/>
      <c r="F14" s="820"/>
      <c r="G14" s="820"/>
      <c r="H14" s="820"/>
      <c r="I14" s="820"/>
      <c r="J14" s="820"/>
      <c r="K14" s="820"/>
      <c r="L14" s="820"/>
      <c r="M14" s="4"/>
      <c r="N14" s="3"/>
      <c r="O14" s="3"/>
      <c r="P14" s="2"/>
      <c r="Q14" s="820"/>
      <c r="R14" s="820"/>
      <c r="S14" s="820"/>
      <c r="T14" s="820"/>
      <c r="U14" s="820"/>
      <c r="V14" s="820"/>
      <c r="W14" s="820"/>
    </row>
    <row r="15" spans="1:23" ht="18.75" customHeight="1">
      <c r="A15" s="820"/>
      <c r="B15" s="820"/>
      <c r="C15" s="822" t="s">
        <v>6</v>
      </c>
      <c r="D15" s="823"/>
      <c r="E15" s="823"/>
      <c r="F15" s="823"/>
      <c r="G15" s="823"/>
      <c r="H15" s="860" t="s">
        <v>7</v>
      </c>
      <c r="I15" s="820"/>
      <c r="J15" s="828"/>
      <c r="K15" s="820"/>
      <c r="L15" s="820"/>
      <c r="M15" s="4"/>
      <c r="N15" s="3"/>
      <c r="O15" s="3"/>
      <c r="P15" s="2"/>
      <c r="Q15" s="820"/>
      <c r="R15" s="820"/>
      <c r="S15" s="820"/>
      <c r="T15" s="820"/>
      <c r="U15" s="820"/>
      <c r="V15" s="820"/>
      <c r="W15" s="820"/>
    </row>
    <row r="16" spans="1:23" ht="15" customHeight="1">
      <c r="A16" s="820"/>
      <c r="B16" s="820"/>
      <c r="C16" s="830"/>
      <c r="D16" s="829"/>
      <c r="E16" s="829"/>
      <c r="F16" s="829"/>
      <c r="G16" s="829"/>
      <c r="H16" s="831">
        <f>IF(FP.DataSourceName="Bloomberg",1,IF(FP.DataSourceName="Capital IQ",2,IF(FP.DataSourceName="FactSet",3,IF(FP.DataSourceName="Refinitiv",4))))</f>
        <v>1</v>
      </c>
      <c r="I16" s="832"/>
      <c r="J16" s="828"/>
      <c r="K16" s="820"/>
      <c r="L16" s="820"/>
      <c r="M16" s="4"/>
      <c r="N16" s="3"/>
      <c r="O16" s="3"/>
      <c r="P16" s="2"/>
      <c r="Q16" s="820"/>
      <c r="R16" s="820"/>
      <c r="S16" s="820"/>
      <c r="T16" s="820"/>
      <c r="U16" s="820"/>
      <c r="V16" s="820"/>
      <c r="W16" s="820"/>
    </row>
    <row r="17" spans="1:23" s="40" customFormat="1" ht="18.75">
      <c r="A17" s="829"/>
      <c r="B17" s="829"/>
      <c r="C17" s="825"/>
      <c r="D17" s="829"/>
      <c r="E17" s="829"/>
      <c r="F17" s="829"/>
      <c r="G17" s="829"/>
      <c r="H17" s="829"/>
      <c r="I17" s="832"/>
      <c r="J17" s="828"/>
      <c r="K17" s="820"/>
      <c r="L17" s="820"/>
      <c r="M17" s="4"/>
      <c r="N17" s="1"/>
      <c r="O17" s="1"/>
      <c r="P17" s="1025"/>
      <c r="Q17" s="829"/>
      <c r="R17" s="829"/>
      <c r="S17" s="829"/>
      <c r="T17" s="829"/>
      <c r="U17" s="829"/>
      <c r="V17" s="829"/>
      <c r="W17" s="820"/>
    </row>
    <row r="18" spans="1:23" s="40" customFormat="1" ht="18.75" customHeight="1">
      <c r="A18" s="829"/>
      <c r="B18" s="829"/>
      <c r="C18" s="822" t="s">
        <v>8</v>
      </c>
      <c r="D18" s="823"/>
      <c r="E18" s="823"/>
      <c r="F18" s="823"/>
      <c r="G18" s="823"/>
      <c r="H18" s="860" t="s">
        <v>572</v>
      </c>
      <c r="I18" s="833"/>
      <c r="J18" s="833"/>
      <c r="K18" s="820"/>
      <c r="L18" s="820"/>
      <c r="M18" s="4"/>
      <c r="N18" s="1"/>
      <c r="O18" s="1"/>
      <c r="P18" s="1025"/>
      <c r="Q18" s="829"/>
      <c r="R18" s="829"/>
      <c r="S18" s="829"/>
      <c r="T18" s="829"/>
      <c r="U18" s="829"/>
      <c r="V18" s="829"/>
      <c r="W18" s="820"/>
    </row>
    <row r="19" spans="1:23" s="40" customFormat="1" ht="15">
      <c r="A19" s="829"/>
      <c r="B19" s="829"/>
      <c r="C19" s="830"/>
      <c r="D19" s="829"/>
      <c r="E19" s="829"/>
      <c r="F19" s="829"/>
      <c r="G19" s="829"/>
      <c r="H19" s="829"/>
      <c r="I19" s="832"/>
      <c r="J19" s="828"/>
      <c r="K19" s="820"/>
      <c r="L19" s="820"/>
      <c r="M19" s="4"/>
      <c r="N19" s="1"/>
      <c r="O19" s="1"/>
      <c r="P19" s="1025"/>
      <c r="Q19" s="829"/>
      <c r="R19" s="829"/>
      <c r="S19" s="829"/>
      <c r="T19" s="829"/>
      <c r="U19" s="829"/>
      <c r="V19" s="829"/>
      <c r="W19" s="820"/>
    </row>
    <row r="20" spans="1:23" s="40" customFormat="1" ht="18.75" customHeight="1">
      <c r="A20" s="829"/>
      <c r="B20" s="829"/>
      <c r="C20" s="834" t="s">
        <v>9</v>
      </c>
      <c r="D20" s="829"/>
      <c r="E20" s="829"/>
      <c r="F20" s="835">
        <v>45629</v>
      </c>
      <c r="G20" s="829"/>
      <c r="H20" s="861">
        <v>142.03</v>
      </c>
      <c r="I20" s="832"/>
      <c r="J20" s="828"/>
      <c r="K20" s="820"/>
      <c r="L20" s="820"/>
      <c r="M20" s="4"/>
      <c r="N20" s="1"/>
      <c r="O20" s="1"/>
      <c r="P20" s="1025"/>
      <c r="Q20" s="829"/>
      <c r="R20" s="829"/>
      <c r="S20" s="829"/>
      <c r="T20" s="829"/>
      <c r="U20" s="829"/>
      <c r="V20" s="829"/>
      <c r="W20" s="820"/>
    </row>
    <row r="21" spans="1:23" s="40" customFormat="1" ht="15">
      <c r="A21" s="829"/>
      <c r="B21" s="829"/>
      <c r="C21" s="829"/>
      <c r="D21" s="820"/>
      <c r="E21" s="820"/>
      <c r="F21" s="820"/>
      <c r="G21" s="820"/>
      <c r="H21" s="820"/>
      <c r="I21" s="820"/>
      <c r="J21" s="820"/>
      <c r="K21" s="820"/>
      <c r="L21" s="820"/>
      <c r="M21" s="820"/>
      <c r="N21" s="829"/>
      <c r="O21" s="829"/>
      <c r="P21" s="829"/>
      <c r="Q21" s="829"/>
      <c r="R21" s="829"/>
      <c r="S21" s="829"/>
      <c r="T21" s="829"/>
      <c r="U21" s="829"/>
      <c r="V21" s="829"/>
      <c r="W21" s="829"/>
    </row>
    <row r="22" spans="1:23" ht="16.15" customHeight="1">
      <c r="A22" s="820"/>
      <c r="B22" s="820"/>
      <c r="C22" s="13" t="s">
        <v>465</v>
      </c>
      <c r="D22" s="12"/>
      <c r="E22" s="12"/>
      <c r="F22" s="12"/>
      <c r="G22" s="12"/>
      <c r="H22" s="12"/>
      <c r="I22" s="12"/>
      <c r="J22" s="12"/>
      <c r="K22" s="12"/>
      <c r="L22" s="12"/>
      <c r="M22" s="12"/>
      <c r="N22" s="12"/>
      <c r="O22" s="12"/>
      <c r="P22" s="11"/>
      <c r="Q22" s="820"/>
      <c r="R22" s="820"/>
      <c r="S22" s="820"/>
      <c r="T22" s="820"/>
      <c r="U22" s="820"/>
      <c r="V22" s="820"/>
      <c r="W22" s="820"/>
    </row>
    <row r="23" spans="1:23" ht="16.15" customHeight="1">
      <c r="A23" s="820"/>
      <c r="B23" s="820"/>
      <c r="C23" s="10"/>
      <c r="D23" s="9"/>
      <c r="E23" s="9"/>
      <c r="F23" s="9"/>
      <c r="G23" s="9"/>
      <c r="H23" s="9"/>
      <c r="I23" s="9"/>
      <c r="J23" s="9"/>
      <c r="K23" s="9"/>
      <c r="L23" s="9"/>
      <c r="M23" s="9"/>
      <c r="N23" s="9"/>
      <c r="O23" s="9"/>
      <c r="P23" s="8"/>
      <c r="Q23" s="820"/>
      <c r="R23" s="820"/>
      <c r="S23" s="820"/>
      <c r="T23" s="820"/>
      <c r="U23" s="820"/>
      <c r="V23" s="820"/>
      <c r="W23" s="820"/>
    </row>
    <row r="24" spans="1:23" ht="16.15" customHeight="1">
      <c r="A24" s="820"/>
      <c r="B24" s="820"/>
      <c r="C24" s="10"/>
      <c r="D24" s="9"/>
      <c r="E24" s="9"/>
      <c r="F24" s="9"/>
      <c r="G24" s="9"/>
      <c r="H24" s="9"/>
      <c r="I24" s="9"/>
      <c r="J24" s="9"/>
      <c r="K24" s="9"/>
      <c r="L24" s="9"/>
      <c r="M24" s="9"/>
      <c r="N24" s="9"/>
      <c r="O24" s="9"/>
      <c r="P24" s="8"/>
      <c r="Q24" s="820"/>
      <c r="R24" s="820"/>
      <c r="S24" s="820"/>
      <c r="T24" s="820"/>
      <c r="U24" s="820"/>
      <c r="V24" s="820"/>
      <c r="W24" s="820"/>
    </row>
    <row r="25" spans="1:23" ht="16.15" customHeight="1">
      <c r="A25" s="820"/>
      <c r="B25" s="820"/>
      <c r="C25" s="10"/>
      <c r="D25" s="9"/>
      <c r="E25" s="9"/>
      <c r="F25" s="9"/>
      <c r="G25" s="9"/>
      <c r="H25" s="9"/>
      <c r="I25" s="9"/>
      <c r="J25" s="9"/>
      <c r="K25" s="9"/>
      <c r="L25" s="9"/>
      <c r="M25" s="9"/>
      <c r="N25" s="9"/>
      <c r="O25" s="9"/>
      <c r="P25" s="8"/>
      <c r="Q25" s="820"/>
      <c r="R25" s="820"/>
      <c r="S25" s="820"/>
      <c r="T25" s="820"/>
      <c r="U25" s="820"/>
      <c r="V25" s="820"/>
      <c r="W25" s="820"/>
    </row>
    <row r="26" spans="1:23" ht="16.15" customHeight="1">
      <c r="A26" s="820"/>
      <c r="B26" s="820"/>
      <c r="C26" s="10"/>
      <c r="D26" s="9"/>
      <c r="E26" s="9"/>
      <c r="F26" s="9"/>
      <c r="G26" s="9"/>
      <c r="H26" s="9"/>
      <c r="I26" s="9"/>
      <c r="J26" s="9"/>
      <c r="K26" s="9"/>
      <c r="L26" s="9"/>
      <c r="M26" s="9"/>
      <c r="N26" s="9"/>
      <c r="O26" s="9"/>
      <c r="P26" s="8"/>
      <c r="Q26" s="820"/>
      <c r="R26" s="820"/>
      <c r="S26" s="820"/>
      <c r="T26" s="820"/>
      <c r="U26" s="820"/>
      <c r="V26" s="820"/>
      <c r="W26" s="820"/>
    </row>
    <row r="27" spans="1:23" ht="16.15" customHeight="1">
      <c r="A27" s="820"/>
      <c r="B27" s="820"/>
      <c r="C27" s="10"/>
      <c r="D27" s="9"/>
      <c r="E27" s="9"/>
      <c r="F27" s="9"/>
      <c r="G27" s="9"/>
      <c r="H27" s="9"/>
      <c r="I27" s="9"/>
      <c r="J27" s="9"/>
      <c r="K27" s="9"/>
      <c r="L27" s="9"/>
      <c r="M27" s="9"/>
      <c r="N27" s="9"/>
      <c r="O27" s="9"/>
      <c r="P27" s="8"/>
      <c r="Q27" s="820"/>
      <c r="R27" s="820"/>
      <c r="S27" s="820"/>
      <c r="T27" s="820"/>
      <c r="U27" s="820"/>
      <c r="V27" s="820"/>
      <c r="W27" s="820"/>
    </row>
    <row r="28" spans="1:23" ht="16.15" customHeight="1">
      <c r="A28" s="820"/>
      <c r="B28" s="820"/>
      <c r="C28" s="10"/>
      <c r="D28" s="9"/>
      <c r="E28" s="9"/>
      <c r="F28" s="9"/>
      <c r="G28" s="9"/>
      <c r="H28" s="9"/>
      <c r="I28" s="9"/>
      <c r="J28" s="9"/>
      <c r="K28" s="9"/>
      <c r="L28" s="9"/>
      <c r="M28" s="9"/>
      <c r="N28" s="9"/>
      <c r="O28" s="9"/>
      <c r="P28" s="8"/>
      <c r="Q28" s="820"/>
      <c r="R28" s="820"/>
      <c r="S28" s="820"/>
      <c r="T28" s="820"/>
      <c r="U28" s="820"/>
      <c r="V28" s="820"/>
      <c r="W28" s="820"/>
    </row>
    <row r="29" spans="1:23" ht="16.15" customHeight="1">
      <c r="A29" s="820"/>
      <c r="B29" s="820"/>
      <c r="C29" s="10"/>
      <c r="D29" s="9"/>
      <c r="E29" s="9"/>
      <c r="F29" s="9"/>
      <c r="G29" s="9"/>
      <c r="H29" s="9"/>
      <c r="I29" s="9"/>
      <c r="J29" s="9"/>
      <c r="K29" s="9"/>
      <c r="L29" s="9"/>
      <c r="M29" s="9"/>
      <c r="N29" s="9"/>
      <c r="O29" s="9"/>
      <c r="P29" s="8"/>
      <c r="Q29" s="820"/>
      <c r="R29" s="820"/>
      <c r="S29" s="820"/>
      <c r="T29" s="820"/>
      <c r="U29" s="820"/>
      <c r="V29" s="820"/>
      <c r="W29" s="820"/>
    </row>
    <row r="30" spans="1:23" ht="16.15" customHeight="1">
      <c r="A30" s="820"/>
      <c r="B30" s="820"/>
      <c r="C30" s="10"/>
      <c r="D30" s="9"/>
      <c r="E30" s="9"/>
      <c r="F30" s="9"/>
      <c r="G30" s="9"/>
      <c r="H30" s="9"/>
      <c r="I30" s="9"/>
      <c r="J30" s="9"/>
      <c r="K30" s="9"/>
      <c r="L30" s="9"/>
      <c r="M30" s="9"/>
      <c r="N30" s="9"/>
      <c r="O30" s="9"/>
      <c r="P30" s="8"/>
      <c r="Q30" s="820"/>
      <c r="R30" s="820"/>
      <c r="S30" s="820"/>
      <c r="T30" s="820"/>
      <c r="U30" s="820"/>
      <c r="V30" s="820"/>
      <c r="W30" s="820"/>
    </row>
    <row r="31" spans="1:23" ht="16.15" customHeight="1">
      <c r="A31" s="820"/>
      <c r="B31" s="820"/>
      <c r="C31" s="10"/>
      <c r="D31" s="9"/>
      <c r="E31" s="9"/>
      <c r="F31" s="9"/>
      <c r="G31" s="9"/>
      <c r="H31" s="9"/>
      <c r="I31" s="9"/>
      <c r="J31" s="9"/>
      <c r="K31" s="9"/>
      <c r="L31" s="9"/>
      <c r="M31" s="9"/>
      <c r="N31" s="9"/>
      <c r="O31" s="9"/>
      <c r="P31" s="8"/>
      <c r="Q31" s="820"/>
      <c r="R31" s="820"/>
      <c r="S31" s="820"/>
      <c r="T31" s="820"/>
      <c r="U31" s="820"/>
      <c r="V31" s="820"/>
      <c r="W31" s="820"/>
    </row>
    <row r="32" spans="1:23" ht="16.15" customHeight="1">
      <c r="A32" s="820"/>
      <c r="B32" s="820"/>
      <c r="C32" s="10"/>
      <c r="D32" s="9"/>
      <c r="E32" s="9"/>
      <c r="F32" s="9"/>
      <c r="G32" s="9"/>
      <c r="H32" s="9"/>
      <c r="I32" s="9"/>
      <c r="J32" s="9"/>
      <c r="K32" s="9"/>
      <c r="L32" s="9"/>
      <c r="M32" s="9"/>
      <c r="N32" s="9"/>
      <c r="O32" s="9"/>
      <c r="P32" s="8"/>
      <c r="Q32" s="820"/>
      <c r="R32" s="820"/>
      <c r="S32" s="820"/>
      <c r="T32" s="820"/>
      <c r="U32" s="820"/>
      <c r="V32" s="820"/>
      <c r="W32" s="820"/>
    </row>
    <row r="33" spans="1:23" ht="16.15" customHeight="1">
      <c r="A33" s="820"/>
      <c r="B33" s="820"/>
      <c r="C33" s="10"/>
      <c r="D33" s="9"/>
      <c r="E33" s="9"/>
      <c r="F33" s="9"/>
      <c r="G33" s="9"/>
      <c r="H33" s="9"/>
      <c r="I33" s="9"/>
      <c r="J33" s="9"/>
      <c r="K33" s="9"/>
      <c r="L33" s="9"/>
      <c r="M33" s="9"/>
      <c r="N33" s="9"/>
      <c r="O33" s="9"/>
      <c r="P33" s="8"/>
      <c r="Q33" s="820"/>
      <c r="R33" s="820"/>
      <c r="S33" s="820"/>
      <c r="T33" s="820"/>
      <c r="U33" s="820"/>
      <c r="V33" s="820"/>
      <c r="W33" s="820"/>
    </row>
    <row r="34" spans="1:23" ht="16.15" customHeight="1">
      <c r="A34" s="820"/>
      <c r="B34" s="820"/>
      <c r="C34" s="10"/>
      <c r="D34" s="9"/>
      <c r="E34" s="9"/>
      <c r="F34" s="9"/>
      <c r="G34" s="9"/>
      <c r="H34" s="9"/>
      <c r="I34" s="9"/>
      <c r="J34" s="9"/>
      <c r="K34" s="9"/>
      <c r="L34" s="9"/>
      <c r="M34" s="9"/>
      <c r="N34" s="9"/>
      <c r="O34" s="9"/>
      <c r="P34" s="8"/>
      <c r="Q34" s="820"/>
      <c r="R34" s="820"/>
      <c r="S34" s="820"/>
      <c r="T34" s="820"/>
      <c r="U34" s="820"/>
      <c r="V34" s="820"/>
      <c r="W34" s="820"/>
    </row>
    <row r="35" spans="1:23" ht="16.15" customHeight="1">
      <c r="A35" s="820"/>
      <c r="B35" s="820"/>
      <c r="C35" s="10"/>
      <c r="D35" s="9"/>
      <c r="E35" s="9"/>
      <c r="F35" s="9"/>
      <c r="G35" s="9"/>
      <c r="H35" s="9"/>
      <c r="I35" s="9"/>
      <c r="J35" s="9"/>
      <c r="K35" s="9"/>
      <c r="L35" s="9"/>
      <c r="M35" s="9"/>
      <c r="N35" s="9"/>
      <c r="O35" s="9"/>
      <c r="P35" s="8"/>
      <c r="Q35" s="820"/>
      <c r="R35" s="820"/>
      <c r="S35" s="820"/>
      <c r="T35" s="820"/>
      <c r="U35" s="820"/>
      <c r="V35" s="820"/>
      <c r="W35" s="820"/>
    </row>
    <row r="36" spans="1:23" ht="16.15" customHeight="1">
      <c r="A36" s="820"/>
      <c r="B36" s="820"/>
      <c r="C36" s="10"/>
      <c r="D36" s="9"/>
      <c r="E36" s="9"/>
      <c r="F36" s="9"/>
      <c r="G36" s="9"/>
      <c r="H36" s="9"/>
      <c r="I36" s="9"/>
      <c r="J36" s="9"/>
      <c r="K36" s="9"/>
      <c r="L36" s="9"/>
      <c r="M36" s="9"/>
      <c r="N36" s="9"/>
      <c r="O36" s="9"/>
      <c r="P36" s="8"/>
      <c r="Q36" s="820"/>
      <c r="R36" s="820"/>
      <c r="S36" s="820"/>
      <c r="T36" s="820"/>
      <c r="U36" s="820"/>
      <c r="V36" s="820"/>
      <c r="W36" s="820"/>
    </row>
    <row r="37" spans="1:23" ht="16.15" customHeight="1">
      <c r="A37" s="820"/>
      <c r="B37" s="820"/>
      <c r="C37" s="10"/>
      <c r="D37" s="9"/>
      <c r="E37" s="9"/>
      <c r="F37" s="9"/>
      <c r="G37" s="9"/>
      <c r="H37" s="9"/>
      <c r="I37" s="9"/>
      <c r="J37" s="9"/>
      <c r="K37" s="9"/>
      <c r="L37" s="9"/>
      <c r="M37" s="9"/>
      <c r="N37" s="9"/>
      <c r="O37" s="9"/>
      <c r="P37" s="8"/>
      <c r="Q37" s="820"/>
      <c r="R37" s="820"/>
      <c r="S37" s="820"/>
      <c r="T37" s="820"/>
      <c r="U37" s="820"/>
      <c r="V37" s="820"/>
      <c r="W37" s="820"/>
    </row>
    <row r="38" spans="1:23" ht="16.15" customHeight="1">
      <c r="A38" s="820"/>
      <c r="B38" s="820"/>
      <c r="C38" s="10"/>
      <c r="D38" s="9"/>
      <c r="E38" s="9"/>
      <c r="F38" s="9"/>
      <c r="G38" s="9"/>
      <c r="H38" s="9"/>
      <c r="I38" s="9"/>
      <c r="J38" s="9"/>
      <c r="K38" s="9"/>
      <c r="L38" s="9"/>
      <c r="M38" s="9"/>
      <c r="N38" s="9"/>
      <c r="O38" s="9"/>
      <c r="P38" s="8"/>
      <c r="Q38" s="820"/>
      <c r="R38" s="820"/>
      <c r="S38" s="820"/>
      <c r="T38" s="820"/>
      <c r="U38" s="820"/>
      <c r="V38" s="820"/>
      <c r="W38" s="820"/>
    </row>
    <row r="39" spans="1:23" ht="16.15" customHeight="1">
      <c r="A39" s="820"/>
      <c r="B39" s="820"/>
      <c r="C39" s="10"/>
      <c r="D39" s="9"/>
      <c r="E39" s="9"/>
      <c r="F39" s="9"/>
      <c r="G39" s="9"/>
      <c r="H39" s="9"/>
      <c r="I39" s="9"/>
      <c r="J39" s="9"/>
      <c r="K39" s="9"/>
      <c r="L39" s="9"/>
      <c r="M39" s="9"/>
      <c r="N39" s="9"/>
      <c r="O39" s="9"/>
      <c r="P39" s="8"/>
      <c r="Q39" s="820"/>
      <c r="R39" s="820"/>
      <c r="S39" s="820"/>
      <c r="T39" s="820"/>
      <c r="U39" s="820"/>
      <c r="V39" s="820"/>
      <c r="W39" s="820"/>
    </row>
    <row r="40" spans="1:23" ht="16.15" customHeight="1">
      <c r="A40" s="820"/>
      <c r="B40" s="820"/>
      <c r="C40" s="10"/>
      <c r="D40" s="9"/>
      <c r="E40" s="9"/>
      <c r="F40" s="9"/>
      <c r="G40" s="9"/>
      <c r="H40" s="9"/>
      <c r="I40" s="9"/>
      <c r="J40" s="9"/>
      <c r="K40" s="9"/>
      <c r="L40" s="9"/>
      <c r="M40" s="9"/>
      <c r="N40" s="9"/>
      <c r="O40" s="9"/>
      <c r="P40" s="8"/>
      <c r="Q40" s="820"/>
      <c r="R40" s="820"/>
      <c r="S40" s="820"/>
      <c r="T40" s="820"/>
      <c r="U40" s="820"/>
      <c r="V40" s="820"/>
      <c r="W40" s="820"/>
    </row>
    <row r="41" spans="1:23" ht="16.15" customHeight="1">
      <c r="A41" s="820"/>
      <c r="B41" s="820"/>
      <c r="C41" s="7"/>
      <c r="D41" s="6"/>
      <c r="E41" s="6"/>
      <c r="F41" s="6"/>
      <c r="G41" s="6"/>
      <c r="H41" s="6"/>
      <c r="I41" s="6"/>
      <c r="J41" s="6"/>
      <c r="K41" s="6"/>
      <c r="L41" s="6"/>
      <c r="M41" s="6"/>
      <c r="N41" s="6"/>
      <c r="O41" s="6"/>
      <c r="P41" s="5"/>
      <c r="Q41" s="820"/>
      <c r="R41" s="820"/>
      <c r="S41" s="820"/>
      <c r="T41" s="820"/>
      <c r="U41" s="820"/>
      <c r="V41" s="820"/>
      <c r="W41" s="820"/>
    </row>
    <row r="42" spans="1:23" ht="15">
      <c r="A42" s="820"/>
      <c r="B42" s="820"/>
      <c r="C42" s="820"/>
      <c r="D42" s="820"/>
      <c r="E42" s="820"/>
      <c r="F42" s="820"/>
      <c r="G42" s="820"/>
      <c r="H42" s="820"/>
      <c r="I42" s="820"/>
      <c r="J42" s="820"/>
      <c r="K42" s="820"/>
      <c r="L42" s="820"/>
      <c r="M42" s="820"/>
      <c r="N42" s="820"/>
      <c r="O42" s="820"/>
      <c r="P42" s="820"/>
      <c r="Q42" s="820"/>
      <c r="R42" s="820"/>
      <c r="S42" s="820"/>
      <c r="T42" s="820"/>
      <c r="U42" s="820"/>
      <c r="V42" s="820"/>
      <c r="W42" s="820"/>
    </row>
    <row r="43" spans="1:23" ht="15">
      <c r="A43" s="820"/>
      <c r="B43" s="820"/>
      <c r="C43" s="820"/>
      <c r="D43" s="820"/>
      <c r="E43" s="820"/>
      <c r="F43" s="820"/>
      <c r="G43" s="820"/>
      <c r="H43" s="820"/>
      <c r="I43" s="820"/>
      <c r="J43" s="820"/>
      <c r="K43" s="820"/>
      <c r="L43" s="820"/>
      <c r="M43" s="820"/>
      <c r="N43" s="820"/>
      <c r="O43" s="820"/>
      <c r="P43" s="820"/>
      <c r="Q43" s="820"/>
      <c r="R43" s="820"/>
      <c r="S43" s="820"/>
      <c r="T43" s="820"/>
      <c r="U43" s="820"/>
      <c r="V43" s="820"/>
      <c r="W43" s="820"/>
    </row>
    <row r="44" spans="1:23" ht="15">
      <c r="A44" s="820"/>
      <c r="B44" s="820"/>
      <c r="C44" s="820"/>
      <c r="D44" s="820"/>
      <c r="E44" s="820"/>
      <c r="F44" s="820"/>
      <c r="G44" s="820"/>
      <c r="H44" s="820"/>
      <c r="I44" s="820"/>
      <c r="J44" s="820"/>
      <c r="K44" s="820"/>
      <c r="L44" s="820"/>
      <c r="M44" s="820"/>
      <c r="N44" s="820"/>
      <c r="O44" s="820"/>
      <c r="P44" s="820"/>
      <c r="Q44" s="820"/>
      <c r="R44" s="820"/>
      <c r="S44" s="820"/>
      <c r="T44" s="820"/>
      <c r="U44" s="820"/>
      <c r="V44" s="820"/>
      <c r="W44" s="820"/>
    </row>
    <row r="45" spans="1:23" ht="15">
      <c r="A45" s="820"/>
      <c r="B45" s="820"/>
      <c r="C45" s="820"/>
      <c r="D45" s="820"/>
      <c r="E45" s="820"/>
      <c r="F45" s="820"/>
      <c r="G45" s="820"/>
      <c r="H45" s="820"/>
      <c r="I45" s="820"/>
      <c r="J45" s="820"/>
      <c r="K45" s="820"/>
      <c r="L45" s="820"/>
      <c r="M45" s="820"/>
      <c r="N45" s="820"/>
      <c r="O45" s="820"/>
      <c r="P45" s="820"/>
      <c r="Q45" s="820"/>
      <c r="R45" s="820"/>
      <c r="S45" s="820"/>
      <c r="T45" s="820"/>
      <c r="U45" s="820"/>
      <c r="V45" s="820"/>
      <c r="W45" s="820"/>
    </row>
    <row r="46" spans="1:23" ht="15">
      <c r="A46" s="820"/>
      <c r="B46" s="820"/>
      <c r="C46" s="820"/>
      <c r="D46" s="820"/>
      <c r="E46" s="820"/>
      <c r="F46" s="820"/>
      <c r="G46" s="820"/>
      <c r="H46" s="820"/>
      <c r="I46" s="820"/>
      <c r="J46" s="820"/>
      <c r="K46" s="820"/>
      <c r="L46" s="820"/>
      <c r="M46" s="820"/>
      <c r="N46" s="820"/>
      <c r="O46" s="820"/>
      <c r="P46" s="820"/>
      <c r="Q46" s="820"/>
      <c r="R46" s="820"/>
      <c r="S46" s="820"/>
      <c r="T46" s="820"/>
      <c r="U46" s="820"/>
      <c r="V46" s="820"/>
      <c r="W46" s="820"/>
    </row>
    <row r="47" spans="1:23" ht="15">
      <c r="A47" s="820"/>
      <c r="B47" s="820"/>
      <c r="C47" s="820"/>
      <c r="D47" s="820"/>
      <c r="E47" s="820"/>
      <c r="F47" s="820"/>
      <c r="G47" s="820"/>
      <c r="H47" s="820"/>
      <c r="I47" s="820"/>
      <c r="J47" s="820"/>
      <c r="K47" s="820"/>
      <c r="L47" s="820"/>
      <c r="M47" s="820"/>
      <c r="N47" s="820"/>
      <c r="O47" s="820"/>
      <c r="P47" s="820"/>
      <c r="Q47" s="820"/>
      <c r="R47" s="820"/>
      <c r="S47" s="820"/>
      <c r="T47" s="820"/>
      <c r="U47" s="820"/>
      <c r="V47" s="820"/>
      <c r="W47" s="820"/>
    </row>
    <row r="48" spans="1:23" ht="15">
      <c r="A48" s="820"/>
      <c r="B48" s="820"/>
      <c r="C48" s="820"/>
      <c r="D48" s="820"/>
      <c r="E48" s="820"/>
      <c r="F48" s="820"/>
      <c r="G48" s="820"/>
      <c r="H48" s="820"/>
      <c r="I48" s="820"/>
      <c r="J48" s="820"/>
      <c r="K48" s="820"/>
      <c r="L48" s="820"/>
      <c r="M48" s="820"/>
      <c r="N48" s="820"/>
      <c r="O48" s="820"/>
      <c r="P48" s="820"/>
      <c r="Q48" s="820"/>
      <c r="R48" s="820"/>
      <c r="S48" s="820"/>
      <c r="T48" s="820"/>
      <c r="U48" s="820"/>
      <c r="V48" s="820"/>
      <c r="W48" s="820"/>
    </row>
    <row r="49" spans="1:23" ht="15">
      <c r="A49" s="820"/>
      <c r="B49" s="820"/>
      <c r="C49" s="820"/>
      <c r="D49" s="820"/>
      <c r="E49" s="820"/>
      <c r="F49" s="820"/>
      <c r="G49" s="820"/>
      <c r="H49" s="820"/>
      <c r="I49" s="820"/>
      <c r="J49" s="820"/>
      <c r="K49" s="820"/>
      <c r="L49" s="820"/>
      <c r="M49" s="820"/>
      <c r="N49" s="820"/>
      <c r="O49" s="820"/>
      <c r="P49" s="820"/>
      <c r="Q49" s="820"/>
      <c r="R49" s="820"/>
      <c r="S49" s="820"/>
      <c r="T49" s="820"/>
      <c r="U49" s="820"/>
      <c r="V49" s="820"/>
      <c r="W49" s="820"/>
    </row>
    <row r="50" spans="1:23" ht="15">
      <c r="A50" s="820"/>
      <c r="B50" s="820"/>
      <c r="C50" s="820"/>
      <c r="D50" s="820"/>
      <c r="E50" s="820"/>
      <c r="F50" s="820"/>
      <c r="G50" s="820"/>
      <c r="H50" s="820"/>
      <c r="I50" s="820"/>
      <c r="J50" s="820"/>
      <c r="K50" s="820"/>
      <c r="L50" s="820"/>
      <c r="M50" s="820"/>
      <c r="N50" s="820"/>
      <c r="O50" s="820"/>
      <c r="P50" s="820"/>
      <c r="Q50" s="820"/>
      <c r="R50" s="820"/>
      <c r="S50" s="820"/>
      <c r="T50" s="820"/>
      <c r="U50" s="820"/>
      <c r="V50" s="820"/>
      <c r="W50" s="820"/>
    </row>
    <row r="51" spans="1:23" ht="15">
      <c r="A51" s="820"/>
      <c r="B51" s="820"/>
      <c r="C51" s="820"/>
      <c r="D51" s="820"/>
      <c r="E51" s="820"/>
      <c r="F51" s="820"/>
      <c r="G51" s="820"/>
      <c r="H51" s="820"/>
      <c r="I51" s="820"/>
      <c r="J51" s="820"/>
      <c r="K51" s="820"/>
      <c r="L51" s="820"/>
      <c r="M51" s="820"/>
      <c r="N51" s="820"/>
      <c r="O51" s="820"/>
      <c r="P51" s="820"/>
      <c r="Q51" s="820"/>
      <c r="R51" s="820"/>
      <c r="S51" s="820"/>
      <c r="T51" s="820"/>
      <c r="U51" s="820"/>
      <c r="V51" s="820"/>
      <c r="W51" s="820"/>
    </row>
    <row r="52" spans="1:23" ht="15">
      <c r="A52" s="820"/>
      <c r="B52" s="820"/>
      <c r="C52" s="820"/>
      <c r="D52" s="820"/>
      <c r="E52" s="820"/>
      <c r="F52" s="820"/>
      <c r="G52" s="820"/>
      <c r="H52" s="820"/>
      <c r="I52" s="820"/>
      <c r="J52" s="820"/>
      <c r="K52" s="820"/>
      <c r="L52" s="820"/>
      <c r="M52" s="820"/>
      <c r="N52" s="820"/>
      <c r="O52" s="820"/>
      <c r="P52" s="820"/>
      <c r="Q52" s="820"/>
      <c r="R52" s="820"/>
      <c r="S52" s="820"/>
      <c r="T52" s="820"/>
      <c r="U52" s="820"/>
      <c r="V52" s="820"/>
      <c r="W52" s="820"/>
    </row>
    <row r="53" spans="1:23" ht="15">
      <c r="A53" s="820"/>
      <c r="B53" s="820"/>
      <c r="C53" s="820"/>
      <c r="D53" s="820"/>
      <c r="E53" s="820"/>
      <c r="F53" s="820"/>
      <c r="G53" s="820"/>
      <c r="H53" s="820"/>
      <c r="I53" s="820"/>
      <c r="J53" s="820"/>
      <c r="K53" s="820"/>
      <c r="L53" s="820"/>
      <c r="M53" s="820"/>
      <c r="N53" s="820"/>
      <c r="O53" s="820"/>
      <c r="P53" s="820"/>
      <c r="Q53" s="820"/>
      <c r="R53" s="820"/>
      <c r="S53" s="820"/>
      <c r="T53" s="820"/>
      <c r="U53" s="820"/>
      <c r="V53" s="820"/>
      <c r="W53" s="820"/>
    </row>
    <row r="54" spans="1:23" ht="15">
      <c r="A54" s="820"/>
      <c r="B54" s="820"/>
      <c r="C54" s="820"/>
      <c r="D54" s="820"/>
      <c r="E54" s="820"/>
      <c r="F54" s="820"/>
      <c r="G54" s="820"/>
      <c r="H54" s="820"/>
      <c r="I54" s="820"/>
      <c r="J54" s="820"/>
      <c r="K54" s="820"/>
      <c r="L54" s="820"/>
      <c r="M54" s="820"/>
      <c r="N54" s="820"/>
      <c r="O54" s="820"/>
      <c r="P54" s="820"/>
      <c r="Q54" s="820"/>
      <c r="R54" s="820"/>
      <c r="S54" s="820"/>
      <c r="T54" s="820"/>
      <c r="U54" s="820"/>
      <c r="V54" s="820"/>
      <c r="W54" s="820"/>
    </row>
    <row r="55" spans="1:23" ht="15">
      <c r="A55" s="820"/>
      <c r="B55" s="820"/>
      <c r="C55" s="820"/>
      <c r="D55" s="820"/>
      <c r="E55" s="820"/>
      <c r="F55" s="820"/>
      <c r="G55" s="820"/>
      <c r="H55" s="820"/>
      <c r="I55" s="820"/>
      <c r="J55" s="820"/>
      <c r="K55" s="820"/>
      <c r="L55" s="820"/>
      <c r="M55" s="820"/>
      <c r="N55" s="820"/>
      <c r="O55" s="820"/>
      <c r="P55" s="820"/>
      <c r="Q55" s="820"/>
      <c r="R55" s="820"/>
      <c r="S55" s="820"/>
      <c r="T55" s="820"/>
      <c r="U55" s="820"/>
      <c r="V55" s="820"/>
      <c r="W55" s="820"/>
    </row>
    <row r="56" spans="1:23" ht="15">
      <c r="A56" s="820"/>
      <c r="B56" s="820"/>
      <c r="C56" s="820"/>
      <c r="D56" s="820"/>
      <c r="E56" s="820"/>
      <c r="F56" s="820"/>
      <c r="G56" s="820"/>
      <c r="H56" s="820"/>
      <c r="I56" s="820"/>
      <c r="J56" s="820"/>
      <c r="K56" s="820"/>
      <c r="L56" s="820"/>
      <c r="M56" s="820"/>
      <c r="N56" s="820"/>
      <c r="O56" s="820"/>
      <c r="P56" s="820"/>
      <c r="Q56" s="820"/>
      <c r="R56" s="820"/>
      <c r="S56" s="820"/>
      <c r="T56" s="820"/>
      <c r="U56" s="820"/>
      <c r="V56" s="820"/>
      <c r="W56" s="820"/>
    </row>
    <row r="57" spans="1:23" ht="15">
      <c r="A57" s="820"/>
      <c r="B57" s="820"/>
      <c r="C57" s="820"/>
      <c r="D57" s="820"/>
      <c r="E57" s="820"/>
      <c r="F57" s="820"/>
      <c r="G57" s="820"/>
      <c r="H57" s="820"/>
      <c r="I57" s="820"/>
      <c r="J57" s="820"/>
      <c r="K57" s="820"/>
      <c r="L57" s="820"/>
      <c r="M57" s="820"/>
      <c r="N57" s="820"/>
      <c r="O57" s="820"/>
      <c r="P57" s="820"/>
      <c r="Q57" s="820"/>
      <c r="R57" s="820"/>
      <c r="S57" s="820"/>
      <c r="T57" s="820"/>
      <c r="U57" s="820"/>
      <c r="V57" s="820"/>
      <c r="W57" s="820"/>
    </row>
    <row r="67" spans="33:33" ht="15">
      <c r="AG67" s="938"/>
    </row>
  </sheetData>
  <mergeCells count="4">
    <mergeCell ref="F8:K8"/>
    <mergeCell ref="C22:P41"/>
    <mergeCell ref="M13:P20"/>
    <mergeCell ref="M7:O7"/>
  </mergeCells>
  <conditionalFormatting sqref="C20:H20">
    <cfRule type="expression" priority="22" dxfId="10">
      <formula>AND(FP.RealTimeToggle="ON",MO.RealTime="ON")</formula>
    </cfRule>
  </conditionalFormatting>
  <dataValidations count="3">
    <dataValidation type="list" allowBlank="1" showInputMessage="1" showErrorMessage="1" sqref="H18">
      <formula1>"ON, OFF"</formula1>
    </dataValidation>
    <dataValidation allowBlank="1" showInputMessage="1" showErrorMessage="1" sqref="H16"/>
    <dataValidation type="list" allowBlank="1" showInputMessage="1" showErrorMessage="1" sqref="H15">
      <formula1>"Bloomberg, Capital IQ, FactSet, Refinitiv"</formula1>
    </dataValidation>
  </dataValidations>
  <hyperlinks>
    <hyperlink ref="M7" r:id="rId1" tooltip="Click to directly email Canalyst support" display="support@tegus.com"/>
    <hyperlink ref="M7:O7" r:id="rId2" tooltip="Click to directly email Canalyst support" display="support@tegus.com"/>
    <hyperlink ref="M10" r:id="rId3" display="Tegus Excel Add-in"/>
  </hyperlinks>
  <pageMargins left="0.7" right="0.7" top="0.75" bottom="0.75" header="0.3" footer="0.3"/>
  <pageSetup orientation="portrait" paperSize="1" scale="45"/>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E6A58251-A6F1-486D-8609-EBA9C6A7AEFF}">
  <sheetPr codeName="Sheet2">
    <pageSetUpPr fitToPage="1"/>
  </sheetPr>
  <dimension ref="A1:BS718"/>
  <sheetViews>
    <sheetView showGridLines="0" zoomScale="85" zoomScaleNormal="85" workbookViewId="0" topLeftCell="A1">
      <pane xSplit="2" ySplit="5" topLeftCell="AZ6" activePane="bottomRight" state="frozen"/>
      <selection pane="topLeft" activeCell="A1" sqref="A1"/>
      <selection pane="bottomLeft" activeCell="A6" sqref="A6"/>
      <selection pane="topRight" activeCell="C1" sqref="C1"/>
      <selection pane="bottomRight" activeCell="A1" sqref="A1"/>
    </sheetView>
  </sheetViews>
  <sheetFormatPr defaultColWidth="8.71428571428571" defaultRowHeight="15" outlineLevelRow="2" outlineLevelCol="1"/>
  <cols>
    <col min="1" max="1" width="50.7142857142857" style="665" customWidth="1"/>
    <col min="2" max="7" width="10.7142857142857" style="665" customWidth="1"/>
    <col min="8" max="11" width="10.7142857142857" style="665" hidden="1" customWidth="1" outlineLevel="1"/>
    <col min="12" max="12" width="10.7142857142857" style="665" customWidth="1" collapsed="1"/>
    <col min="13" max="16" width="10.7142857142857" style="665" hidden="1" customWidth="1" outlineLevel="1"/>
    <col min="17" max="17" width="10.7142857142857" style="665" customWidth="1" collapsed="1"/>
    <col min="18" max="18" width="10.7142857142857" style="665" hidden="1" customWidth="1" outlineLevel="1"/>
    <col min="19" max="19" width="10.7142857142857" style="666" hidden="1" customWidth="1" outlineLevel="1"/>
    <col min="20" max="21" width="10.7142857142857" style="665" hidden="1" customWidth="1" outlineLevel="1"/>
    <col min="22" max="22" width="10.7142857142857" style="665" customWidth="1" collapsed="1"/>
    <col min="23" max="26" width="10.7142857142857" style="665" hidden="1" customWidth="1" outlineLevel="1"/>
    <col min="27" max="27" width="10.7142857142857" style="665" customWidth="1" collapsed="1"/>
    <col min="28" max="31" width="10.7142857142857" style="665" hidden="1" customWidth="1" outlineLevel="1"/>
    <col min="32" max="32" width="10.7142857142857" style="665" customWidth="1" collapsed="1"/>
    <col min="33" max="36" width="10.7142857142857" style="665" hidden="1" customWidth="1" outlineLevel="1"/>
    <col min="37" max="37" width="10.7142857142857" style="665" customWidth="1" collapsed="1"/>
    <col min="38" max="41" width="10.7142857142857" style="665" hidden="1" customWidth="1" outlineLevel="1"/>
    <col min="42" max="42" width="10.7142857142857" style="665" customWidth="1" collapsed="1"/>
    <col min="43" max="46" width="10.7142857142857" style="665" hidden="1" customWidth="1" outlineLevel="1"/>
    <col min="47" max="47" width="10.7142857142857" style="665" customWidth="1" collapsed="1"/>
    <col min="48" max="51" width="10.7142857142857" style="665" hidden="1" customWidth="1" outlineLevel="1"/>
    <col min="52" max="52" width="10.7142857142857" style="665" customWidth="1" collapsed="1"/>
    <col min="53" max="56" width="10.7142857142857" style="665" customWidth="1" outlineLevel="1"/>
    <col min="57" max="57" width="10.7142857142857" style="665" customWidth="1"/>
    <col min="58" max="61" width="10.7142857142857" style="665" customWidth="1" outlineLevel="1"/>
    <col min="62" max="62" width="10.7142857142857" style="665" customWidth="1"/>
    <col min="63" max="66" width="10.7142857142857" style="665" customWidth="1" outlineLevel="1"/>
    <col min="67" max="70" width="10.7142857142857" style="665" customWidth="1"/>
    <col min="71" max="71" width="8.71428571428571" style="665" customWidth="1"/>
    <col min="72" max="16384" width="8.71428571428571" style="665"/>
  </cols>
  <sheetData>
    <row r="1" spans="1:71" s="667" customFormat="1" ht="28.5">
      <c r="A1" s="22" t="s">
        <v>10</v>
      </c>
      <c r="B1" s="954"/>
      <c r="C1" s="952"/>
      <c r="D1" s="952"/>
      <c r="E1" s="952"/>
      <c r="F1" s="952"/>
      <c r="G1" s="952"/>
      <c r="H1" s="952"/>
      <c r="I1" s="952"/>
      <c r="J1" s="952"/>
      <c r="K1" s="952"/>
      <c r="L1" s="952"/>
      <c r="M1" s="952"/>
      <c r="N1" s="952"/>
      <c r="O1" s="952"/>
      <c r="P1" s="952"/>
      <c r="Q1" s="952"/>
      <c r="R1" s="952"/>
      <c r="S1" s="952"/>
      <c r="T1" s="952"/>
      <c r="U1" s="952"/>
      <c r="V1" s="952"/>
      <c r="W1" s="952"/>
      <c r="X1" s="952"/>
      <c r="Y1" s="952"/>
      <c r="Z1" s="952"/>
      <c r="AA1" s="952"/>
      <c r="AB1" s="952"/>
      <c r="AC1" s="952"/>
      <c r="AD1" s="952"/>
      <c r="AE1" s="952"/>
      <c r="AF1" s="952"/>
      <c r="AG1" s="952"/>
      <c r="AH1" s="952"/>
      <c r="AI1" s="952"/>
      <c r="AJ1" s="952"/>
      <c r="AK1" s="952"/>
      <c r="AL1" s="952"/>
      <c r="AM1" s="952"/>
      <c r="AN1" s="952"/>
      <c r="AO1" s="952"/>
      <c r="AP1" s="952"/>
      <c r="AQ1" s="952"/>
      <c r="AR1" s="952"/>
      <c r="AS1" s="952"/>
      <c r="AT1" s="952"/>
      <c r="AU1" s="952"/>
      <c r="AV1" s="494"/>
      <c r="AW1" s="952"/>
      <c r="AX1" s="952"/>
      <c r="AY1" s="952"/>
      <c r="AZ1" s="952"/>
      <c r="BA1" s="494"/>
      <c r="BB1" s="952"/>
      <c r="BC1" s="952"/>
      <c r="BD1" s="952"/>
      <c r="BE1" s="952"/>
      <c r="BF1" s="494"/>
      <c r="BG1" s="952"/>
      <c r="BH1" s="953"/>
      <c r="BI1" s="954"/>
      <c r="BJ1" s="954"/>
      <c r="BK1" s="954"/>
      <c r="BL1" s="954"/>
      <c r="BM1" s="954"/>
      <c r="BN1" s="954"/>
      <c r="BO1" s="954"/>
      <c r="BP1" s="952"/>
      <c r="BQ1" s="952"/>
      <c r="BR1" s="954"/>
      <c r="BS1" s="664"/>
    </row>
    <row r="2" spans="1:71" s="668" customFormat="1" ht="15">
      <c r="A2" s="458" t="str">
        <f>CHOOSE(MO.DataSourceIndex,MO.Ticker.Bloomberg,MO.Ticker.CapIQ,MO.Ticker.FactSet,MO.Ticker.Thomson)</f>
        <v>AFG US</v>
      </c>
      <c r="B2" s="465"/>
      <c r="C2" s="321">
        <f>EOMONTH(C4,-12)</f>
        <v>39813</v>
      </c>
      <c r="D2" s="466"/>
      <c r="E2" s="466"/>
      <c r="F2" s="466"/>
      <c r="G2" s="466"/>
      <c r="H2" s="466"/>
      <c r="I2" s="466"/>
      <c r="J2" s="466"/>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c r="AJ2" s="466"/>
      <c r="AK2" s="466"/>
      <c r="AL2" s="595" t="s">
        <v>535</v>
      </c>
      <c r="AM2" s="595" t="s">
        <v>535</v>
      </c>
      <c r="AN2" s="595" t="s">
        <v>535</v>
      </c>
      <c r="AO2" s="595" t="s">
        <v>535</v>
      </c>
      <c r="AP2" s="595" t="s">
        <v>535</v>
      </c>
      <c r="AQ2" s="466"/>
      <c r="AR2" s="595"/>
      <c r="AS2" s="595"/>
      <c r="AT2" s="595"/>
      <c r="AU2" s="595"/>
      <c r="AV2" s="466"/>
      <c r="AW2" s="595"/>
      <c r="AX2" s="595"/>
      <c r="AY2" s="595"/>
      <c r="AZ2" s="595"/>
      <c r="BA2" s="466"/>
      <c r="BB2" s="595"/>
      <c r="BC2" s="595"/>
      <c r="BD2" s="595"/>
      <c r="BE2" s="595"/>
      <c r="BF2" s="466"/>
      <c r="BG2" s="595"/>
      <c r="BH2" s="932"/>
      <c r="BI2" s="468"/>
      <c r="BJ2" s="468"/>
      <c r="BK2" s="468"/>
      <c r="BL2" s="468"/>
      <c r="BM2" s="468"/>
      <c r="BN2" s="468"/>
      <c r="BO2" s="468"/>
      <c r="BP2" s="466"/>
      <c r="BQ2" s="466"/>
      <c r="BR2" s="468"/>
      <c r="BS2" s="38"/>
    </row>
    <row r="3" spans="1:71" s="669" customFormat="1" ht="15">
      <c r="A3" s="459" t="str">
        <f ca="1">HP.TradeCurrency</f>
        <v>USD</v>
      </c>
      <c r="B3" s="460">
        <f ca="1">IF(MO.RealTime="OFF",MO.LastPriceHardcoded,MO.LastPriceFormula)</f>
        <v>142.03</v>
      </c>
      <c r="C3" s="1108">
        <f>C4-C2</f>
        <v>365</v>
      </c>
      <c r="D3" s="1108">
        <f t="shared" si="0" ref="D3:K3">D4-C4</f>
        <v>365</v>
      </c>
      <c r="E3" s="1108">
        <f t="shared" si="0"/>
        <v>365</v>
      </c>
      <c r="F3" s="1108">
        <f t="shared" si="0"/>
        <v>366</v>
      </c>
      <c r="G3" s="1108">
        <f t="shared" si="0"/>
        <v>365</v>
      </c>
      <c r="H3" s="268">
        <f t="shared" si="0"/>
        <v>90</v>
      </c>
      <c r="I3" s="268">
        <f t="shared" si="0"/>
        <v>91</v>
      </c>
      <c r="J3" s="268">
        <f t="shared" si="0"/>
        <v>92</v>
      </c>
      <c r="K3" s="268">
        <f t="shared" si="0"/>
        <v>92</v>
      </c>
      <c r="L3" s="1108">
        <f>L4-G4</f>
        <v>365</v>
      </c>
      <c r="M3" s="268">
        <f>M4-L4</f>
        <v>90</v>
      </c>
      <c r="N3" s="268">
        <f>N4-M4</f>
        <v>91</v>
      </c>
      <c r="O3" s="268">
        <f>O4-N4</f>
        <v>92</v>
      </c>
      <c r="P3" s="268">
        <f>P4-O4</f>
        <v>92</v>
      </c>
      <c r="Q3" s="1108">
        <f>Q4-L4</f>
        <v>365</v>
      </c>
      <c r="R3" s="268">
        <f>R4-Q4</f>
        <v>91</v>
      </c>
      <c r="S3" s="268">
        <f>S4-R4</f>
        <v>91</v>
      </c>
      <c r="T3" s="268">
        <f>T4-S4</f>
        <v>92</v>
      </c>
      <c r="U3" s="268">
        <f>U4-T4</f>
        <v>92</v>
      </c>
      <c r="V3" s="1108">
        <f>V4-Q4</f>
        <v>366</v>
      </c>
      <c r="W3" s="268">
        <f>W4-V4</f>
        <v>90</v>
      </c>
      <c r="X3" s="268">
        <f>X4-W4</f>
        <v>91</v>
      </c>
      <c r="Y3" s="268">
        <f>Y4-X4</f>
        <v>92</v>
      </c>
      <c r="Z3" s="268">
        <f>Z4-Y4</f>
        <v>92</v>
      </c>
      <c r="AA3" s="1108">
        <f>AA4-V4</f>
        <v>365</v>
      </c>
      <c r="AB3" s="268">
        <f>AB4-AA4</f>
        <v>90</v>
      </c>
      <c r="AC3" s="268">
        <f>AC4-AB4</f>
        <v>91</v>
      </c>
      <c r="AD3" s="268">
        <f>AD4-AC4</f>
        <v>92</v>
      </c>
      <c r="AE3" s="268">
        <f>AE4-AD4</f>
        <v>92</v>
      </c>
      <c r="AF3" s="1108">
        <f>AF4-AA4</f>
        <v>365</v>
      </c>
      <c r="AG3" s="268">
        <f>AG4-AF4</f>
        <v>90</v>
      </c>
      <c r="AH3" s="268">
        <f>AH4-AG4</f>
        <v>91</v>
      </c>
      <c r="AI3" s="268">
        <f>AI4-AH4</f>
        <v>92</v>
      </c>
      <c r="AJ3" s="268">
        <f>AJ4-AI4</f>
        <v>92</v>
      </c>
      <c r="AK3" s="1108">
        <f>AK4-AF4</f>
        <v>365</v>
      </c>
      <c r="AL3" s="268">
        <f>AL4-AK4</f>
        <v>91</v>
      </c>
      <c r="AM3" s="268">
        <f>AM4-AL4</f>
        <v>91</v>
      </c>
      <c r="AN3" s="268">
        <f>AN4-AM4</f>
        <v>92</v>
      </c>
      <c r="AO3" s="268">
        <f>AO4-AN4</f>
        <v>92</v>
      </c>
      <c r="AP3" s="1108">
        <f>AP4-AK4</f>
        <v>366</v>
      </c>
      <c r="AQ3" s="268">
        <f>AQ4-AP4</f>
        <v>90</v>
      </c>
      <c r="AR3" s="268">
        <f>AR4-AQ4</f>
        <v>91</v>
      </c>
      <c r="AS3" s="268">
        <f>AS4-AR4</f>
        <v>92</v>
      </c>
      <c r="AT3" s="268">
        <f>AT4-AS4</f>
        <v>92</v>
      </c>
      <c r="AU3" s="1108">
        <f>AU4-AP4</f>
        <v>365</v>
      </c>
      <c r="AV3" s="268">
        <f>AV4-AU4</f>
        <v>90</v>
      </c>
      <c r="AW3" s="268">
        <f>AW4-AV4</f>
        <v>91</v>
      </c>
      <c r="AX3" s="268">
        <f>AX4-AW4</f>
        <v>92</v>
      </c>
      <c r="AY3" s="268">
        <f>AY4-AX4</f>
        <v>92</v>
      </c>
      <c r="AZ3" s="1108">
        <f>AZ4-AU4</f>
        <v>365</v>
      </c>
      <c r="BA3" s="268">
        <f>BA4-AZ4</f>
        <v>90</v>
      </c>
      <c r="BB3" s="268">
        <f>BB4-BA4</f>
        <v>91</v>
      </c>
      <c r="BC3" s="268">
        <f>BC4-BB4</f>
        <v>92</v>
      </c>
      <c r="BD3" s="268">
        <f>BD4-BC4</f>
        <v>92</v>
      </c>
      <c r="BE3" s="1108">
        <f>BE4-AZ4</f>
        <v>365</v>
      </c>
      <c r="BF3" s="268">
        <f>BF4-BE4</f>
        <v>91</v>
      </c>
      <c r="BG3" s="268">
        <f>BG4-BF4</f>
        <v>91</v>
      </c>
      <c r="BH3" s="867">
        <f>BH4-BG4</f>
        <v>92</v>
      </c>
      <c r="BI3" s="749">
        <f>BI4-BH4</f>
        <v>92</v>
      </c>
      <c r="BJ3" s="1109">
        <f>BJ4-BE4</f>
        <v>366</v>
      </c>
      <c r="BK3" s="749">
        <f>BK4-BJ4</f>
        <v>90</v>
      </c>
      <c r="BL3" s="749">
        <f>BL4-BK4</f>
        <v>91</v>
      </c>
      <c r="BM3" s="749">
        <f>BM4-BL4</f>
        <v>92</v>
      </c>
      <c r="BN3" s="749">
        <f>BN4-BM4</f>
        <v>92</v>
      </c>
      <c r="BO3" s="1109">
        <f>BO4-BJ4</f>
        <v>365</v>
      </c>
      <c r="BP3" s="1110">
        <f>BP4-BO4</f>
        <v>365</v>
      </c>
      <c r="BQ3" s="1110">
        <f>BQ4-BP4</f>
        <v>365</v>
      </c>
      <c r="BR3" s="1109">
        <f>BR4-BQ4</f>
        <v>366</v>
      </c>
      <c r="BS3" s="461"/>
    </row>
    <row r="4" spans="1:71" s="666" customFormat="1" ht="15">
      <c r="A4" s="462" t="str">
        <f>FP.DataSourceName</f>
        <v>Bloomberg</v>
      </c>
      <c r="B4" s="463" t="str">
        <f ca="1">IF(AND(MO.RealTimeStockPriceToggle,MO.LastPriceFormula&lt;&gt;"N/A"),"ON","OFF")</f>
        <v>OFF</v>
      </c>
      <c r="C4" s="1111">
        <v>40178</v>
      </c>
      <c r="D4" s="1112">
        <f>EOMONTH(C4,12)</f>
        <v>40543</v>
      </c>
      <c r="E4" s="1112">
        <f>EOMONTH(D4,12)</f>
        <v>40908</v>
      </c>
      <c r="F4" s="1112">
        <f>EOMONTH(E4,12)</f>
        <v>41274</v>
      </c>
      <c r="G4" s="1112">
        <f>EOMONTH(F4,12)</f>
        <v>41639</v>
      </c>
      <c r="H4" s="1028">
        <f>EOMONTH(G4,3)</f>
        <v>41729</v>
      </c>
      <c r="I4" s="1028">
        <f>EOMONTH(H4,3)</f>
        <v>41820</v>
      </c>
      <c r="J4" s="1028">
        <f>EOMONTH(I4,3)</f>
        <v>41912</v>
      </c>
      <c r="K4" s="1028">
        <f>EOMONTH(J4,3)</f>
        <v>42004</v>
      </c>
      <c r="L4" s="1112">
        <f>K4</f>
        <v>42004</v>
      </c>
      <c r="M4" s="1028">
        <f>EOMONTH(L4,3)</f>
        <v>42094</v>
      </c>
      <c r="N4" s="1028">
        <f>EOMONTH(M4,3)</f>
        <v>42185</v>
      </c>
      <c r="O4" s="1028">
        <f>EOMONTH(N4,3)</f>
        <v>42277</v>
      </c>
      <c r="P4" s="1028">
        <f>EOMONTH(O4,3)</f>
        <v>42369</v>
      </c>
      <c r="Q4" s="1112">
        <f>P4</f>
        <v>42369</v>
      </c>
      <c r="R4" s="1028">
        <f>EOMONTH(Q4,3)</f>
        <v>42460</v>
      </c>
      <c r="S4" s="322">
        <f>EOMONTH(R4,3)</f>
        <v>42551</v>
      </c>
      <c r="T4" s="1028">
        <f>EOMONTH(S4,3)</f>
        <v>42643</v>
      </c>
      <c r="U4" s="1028">
        <f>EOMONTH(T4,3)</f>
        <v>42735</v>
      </c>
      <c r="V4" s="1112">
        <f>U4</f>
        <v>42735</v>
      </c>
      <c r="W4" s="1028">
        <f>EOMONTH(V4,3)</f>
        <v>42825</v>
      </c>
      <c r="X4" s="322">
        <f>EOMONTH(W4,3)</f>
        <v>42916</v>
      </c>
      <c r="Y4" s="1028">
        <f>EOMONTH(X4,3)</f>
        <v>43008</v>
      </c>
      <c r="Z4" s="1028">
        <f>EOMONTH(Y4,3)</f>
        <v>43100</v>
      </c>
      <c r="AA4" s="1112">
        <f>Z4</f>
        <v>43100</v>
      </c>
      <c r="AB4" s="1028">
        <f>EOMONTH(AA4,3)</f>
        <v>43190</v>
      </c>
      <c r="AC4" s="322">
        <f>EOMONTH(AB4,3)</f>
        <v>43281</v>
      </c>
      <c r="AD4" s="1028">
        <f>EOMONTH(AC4,3)</f>
        <v>43373</v>
      </c>
      <c r="AE4" s="1028">
        <f>EOMONTH(AD4,3)</f>
        <v>43465</v>
      </c>
      <c r="AF4" s="1112">
        <f>AE4</f>
        <v>43465</v>
      </c>
      <c r="AG4" s="1028">
        <f>EOMONTH(AF4,3)</f>
        <v>43555</v>
      </c>
      <c r="AH4" s="322">
        <f>EOMONTH(AG4,3)</f>
        <v>43646</v>
      </c>
      <c r="AI4" s="1028">
        <f>EOMONTH(AH4,3)</f>
        <v>43738</v>
      </c>
      <c r="AJ4" s="1028">
        <f>EOMONTH(AI4,3)</f>
        <v>43830</v>
      </c>
      <c r="AK4" s="1112">
        <f>AJ4</f>
        <v>43830</v>
      </c>
      <c r="AL4" s="1028">
        <f>EOMONTH(AK4,3)</f>
        <v>43921</v>
      </c>
      <c r="AM4" s="322">
        <f>EOMONTH(AL4,3)</f>
        <v>44012</v>
      </c>
      <c r="AN4" s="1028">
        <f>EOMONTH(AM4,3)</f>
        <v>44104</v>
      </c>
      <c r="AO4" s="1028">
        <f>EOMONTH(AN4,3)</f>
        <v>44196</v>
      </c>
      <c r="AP4" s="1112">
        <f>AO4</f>
        <v>44196</v>
      </c>
      <c r="AQ4" s="1028">
        <f>EOMONTH(AP4,3)</f>
        <v>44286</v>
      </c>
      <c r="AR4" s="322">
        <f>EOMONTH(AQ4,3)</f>
        <v>44377</v>
      </c>
      <c r="AS4" s="1028">
        <f>EOMONTH(AR4,3)</f>
        <v>44469</v>
      </c>
      <c r="AT4" s="1028">
        <f>EOMONTH(AS4,3)</f>
        <v>44561</v>
      </c>
      <c r="AU4" s="1112">
        <f>AT4</f>
        <v>44561</v>
      </c>
      <c r="AV4" s="1028">
        <f>EOMONTH(AU4,3)</f>
        <v>44651</v>
      </c>
      <c r="AW4" s="322">
        <f>EOMONTH(AV4,3)</f>
        <v>44742</v>
      </c>
      <c r="AX4" s="1028">
        <f>EOMONTH(AW4,3)</f>
        <v>44834</v>
      </c>
      <c r="AY4" s="1028">
        <f>EOMONTH(AX4,3)</f>
        <v>44926</v>
      </c>
      <c r="AZ4" s="1112">
        <f>AY4</f>
        <v>44926</v>
      </c>
      <c r="BA4" s="1028">
        <f>EOMONTH(AZ4,3)</f>
        <v>45016</v>
      </c>
      <c r="BB4" s="322">
        <f>EOMONTH(BA4,3)</f>
        <v>45107</v>
      </c>
      <c r="BC4" s="1028">
        <f>EOMONTH(BB4,3)</f>
        <v>45199</v>
      </c>
      <c r="BD4" s="1028">
        <f>EOMONTH(BC4,3)</f>
        <v>45291</v>
      </c>
      <c r="BE4" s="1112">
        <f>BD4</f>
        <v>45291</v>
      </c>
      <c r="BF4" s="1028">
        <f>EOMONTH(BE4,3)</f>
        <v>45382</v>
      </c>
      <c r="BG4" s="322">
        <f>EOMONTH(BF4,3)</f>
        <v>45473</v>
      </c>
      <c r="BH4" s="1029">
        <f>EOMONTH(BG4,3)</f>
        <v>45565</v>
      </c>
      <c r="BI4" s="750">
        <f>EOMONTH(BH4,3)</f>
        <v>45657</v>
      </c>
      <c r="BJ4" s="1113">
        <f>BI4</f>
        <v>45657</v>
      </c>
      <c r="BK4" s="750">
        <f>EOMONTH(BJ4,3)</f>
        <v>45747</v>
      </c>
      <c r="BL4" s="750">
        <f>EOMONTH(BK4,3)</f>
        <v>45838</v>
      </c>
      <c r="BM4" s="750">
        <f>EOMONTH(BL4,3)</f>
        <v>45930</v>
      </c>
      <c r="BN4" s="750">
        <f>EOMONTH(BM4,3)</f>
        <v>46022</v>
      </c>
      <c r="BO4" s="1113">
        <f>BN4</f>
        <v>46022</v>
      </c>
      <c r="BP4" s="1112">
        <f>EOMONTH(BO4,12)</f>
        <v>46387</v>
      </c>
      <c r="BQ4" s="1112">
        <f>EOMONTH(BP4,12)</f>
        <v>46752</v>
      </c>
      <c r="BR4" s="1113">
        <f>EOMONTH(BQ4,12)</f>
        <v>47118</v>
      </c>
      <c r="BS4" s="20"/>
    </row>
    <row r="5" spans="1:71" s="668" customFormat="1" ht="15">
      <c r="A5" s="57" t="str">
        <f>MO.ReportCurrency</f>
        <v>USD</v>
      </c>
      <c r="B5" s="469"/>
      <c r="C5" s="1114" t="s">
        <v>12</v>
      </c>
      <c r="D5" s="1115" t="str">
        <f>CONCATENATE("FY",RIGHT(C5,4)+1)</f>
        <v>FY2010</v>
      </c>
      <c r="E5" s="1115" t="str">
        <f>CONCATENATE("FY",RIGHT(D5,4)+1)</f>
        <v>FY2011</v>
      </c>
      <c r="F5" s="1115" t="str">
        <f>CONCATENATE("FY",RIGHT(E5,4)+1)</f>
        <v>FY2012</v>
      </c>
      <c r="G5" s="1115" t="str">
        <f>CONCATENATE("FY",RIGHT(F5,4)+1)</f>
        <v>FY2013</v>
      </c>
      <c r="H5" s="774" t="str">
        <f>CONCATENATE("Q1","-",RIGHT(G5,4)+1)</f>
        <v>Q1-2014</v>
      </c>
      <c r="I5" s="774" t="str">
        <f>CONCATENATE("Q2","-",RIGHT(H5,4))</f>
        <v>Q2-2014</v>
      </c>
      <c r="J5" s="774" t="str">
        <f>CONCATENATE("Q3","-",RIGHT(I5,4))</f>
        <v>Q3-2014</v>
      </c>
      <c r="K5" s="774" t="str">
        <f>CONCATENATE("Q4","-",RIGHT(J5,4))</f>
        <v>Q4-2014</v>
      </c>
      <c r="L5" s="1115" t="str">
        <f>CONCATENATE("FY",RIGHT(G5,4)+1)</f>
        <v>FY2014</v>
      </c>
      <c r="M5" s="774" t="str">
        <f>CONCATENATE("Q1","-",RIGHT(L5,4)+1)</f>
        <v>Q1-2015</v>
      </c>
      <c r="N5" s="774" t="str">
        <f>CONCATENATE("Q2","-",RIGHT(M5,4))</f>
        <v>Q2-2015</v>
      </c>
      <c r="O5" s="774" t="str">
        <f>CONCATENATE("Q3","-",RIGHT(N5,4))</f>
        <v>Q3-2015</v>
      </c>
      <c r="P5" s="774" t="str">
        <f>CONCATENATE("Q4","-",RIGHT(O5,4))</f>
        <v>Q4-2015</v>
      </c>
      <c r="Q5" s="1115" t="str">
        <f>CONCATENATE("FY",RIGHT(L5,4)+1)</f>
        <v>FY2015</v>
      </c>
      <c r="R5" s="774" t="str">
        <f>CONCATENATE("Q1","-",RIGHT(Q5,4)+1)</f>
        <v>Q1-2016</v>
      </c>
      <c r="S5" s="323" t="str">
        <f>CONCATENATE("Q2","-",RIGHT(R5,4))</f>
        <v>Q2-2016</v>
      </c>
      <c r="T5" s="774" t="str">
        <f>CONCATENATE("Q3","-",RIGHT(S5,4))</f>
        <v>Q3-2016</v>
      </c>
      <c r="U5" s="774" t="str">
        <f>CONCATENATE("Q4","-",RIGHT(T5,4))</f>
        <v>Q4-2016</v>
      </c>
      <c r="V5" s="1115" t="str">
        <f>CONCATENATE("FY",RIGHT(Q5,4)+1)</f>
        <v>FY2016</v>
      </c>
      <c r="W5" s="774" t="str">
        <f>CONCATENATE("Q1","-",RIGHT(V5,4)+1)</f>
        <v>Q1-2017</v>
      </c>
      <c r="X5" s="323" t="str">
        <f>CONCATENATE("Q2","-",RIGHT(W5,4))</f>
        <v>Q2-2017</v>
      </c>
      <c r="Y5" s="774" t="str">
        <f>CONCATENATE("Q3","-",RIGHT(X5,4))</f>
        <v>Q3-2017</v>
      </c>
      <c r="Z5" s="774" t="str">
        <f>CONCATENATE("Q4","-",RIGHT(Y5,4))</f>
        <v>Q4-2017</v>
      </c>
      <c r="AA5" s="1115" t="str">
        <f>CONCATENATE("FY",RIGHT(V5,4)+1)</f>
        <v>FY2017</v>
      </c>
      <c r="AB5" s="774" t="str">
        <f>CONCATENATE("Q1","-",RIGHT(AA5,4)+1)</f>
        <v>Q1-2018</v>
      </c>
      <c r="AC5" s="323" t="str">
        <f>CONCATENATE("Q2","-",RIGHT(AB5,4))</f>
        <v>Q2-2018</v>
      </c>
      <c r="AD5" s="774" t="str">
        <f>CONCATENATE("Q3","-",RIGHT(AC5,4))</f>
        <v>Q3-2018</v>
      </c>
      <c r="AE5" s="774" t="str">
        <f>CONCATENATE("Q4","-",RIGHT(AD5,4))</f>
        <v>Q4-2018</v>
      </c>
      <c r="AF5" s="1115" t="str">
        <f>CONCATENATE("FY",RIGHT(AA5,4)+1)</f>
        <v>FY2018</v>
      </c>
      <c r="AG5" s="774" t="str">
        <f>CONCATENATE("Q1","-",RIGHT(AF5,4)+1)</f>
        <v>Q1-2019</v>
      </c>
      <c r="AH5" s="323" t="str">
        <f>CONCATENATE("Q2","-",RIGHT(AG5,4))</f>
        <v>Q2-2019</v>
      </c>
      <c r="AI5" s="774" t="str">
        <f>CONCATENATE("Q3","-",RIGHT(AH5,4))</f>
        <v>Q3-2019</v>
      </c>
      <c r="AJ5" s="774" t="str">
        <f>CONCATENATE("Q4","-",RIGHT(AI5,4))</f>
        <v>Q4-2019</v>
      </c>
      <c r="AK5" s="1115" t="str">
        <f>CONCATENATE("FY",RIGHT(AF5,4)+1)</f>
        <v>FY2019</v>
      </c>
      <c r="AL5" s="774" t="str">
        <f>CONCATENATE("Q1","-",RIGHT(AK5,4)+1)</f>
        <v>Q1-2020</v>
      </c>
      <c r="AM5" s="323" t="str">
        <f>CONCATENATE("Q2","-",RIGHT(AL5,4))</f>
        <v>Q2-2020</v>
      </c>
      <c r="AN5" s="774" t="str">
        <f>CONCATENATE("Q3","-",RIGHT(AM5,4))</f>
        <v>Q3-2020</v>
      </c>
      <c r="AO5" s="774" t="str">
        <f>CONCATENATE("Q4","-",RIGHT(AN5,4))</f>
        <v>Q4-2020</v>
      </c>
      <c r="AP5" s="1115" t="str">
        <f>CONCATENATE("FY",RIGHT(AK5,4)+1)</f>
        <v>FY2020</v>
      </c>
      <c r="AQ5" s="774" t="str">
        <f>CONCATENATE("Q1","-",RIGHT(AP5,4)+1)</f>
        <v>Q1-2021</v>
      </c>
      <c r="AR5" s="323" t="str">
        <f>CONCATENATE("Q2","-",RIGHT(AQ5,4))</f>
        <v>Q2-2021</v>
      </c>
      <c r="AS5" s="323" t="str">
        <f>CONCATENATE("Q3","-",RIGHT(AR5,4))</f>
        <v>Q3-2021</v>
      </c>
      <c r="AT5" s="323" t="str">
        <f>CONCATENATE("Q4","-",RIGHT(AS5,4))</f>
        <v>Q4-2021</v>
      </c>
      <c r="AU5" s="1116" t="str">
        <f>CONCATENATE("FY",RIGHT(AP5,4)+1)</f>
        <v>FY2021</v>
      </c>
      <c r="AV5" s="774" t="str">
        <f>CONCATENATE("Q1","-",RIGHT(AU5,4)+1)</f>
        <v>Q1-2022</v>
      </c>
      <c r="AW5" s="323" t="str">
        <f>CONCATENATE("Q2","-",RIGHT(AV5,4))</f>
        <v>Q2-2022</v>
      </c>
      <c r="AX5" s="323" t="str">
        <f>CONCATENATE("Q3","-",RIGHT(AW5,4))</f>
        <v>Q3-2022</v>
      </c>
      <c r="AY5" s="323" t="str">
        <f>CONCATENATE("Q4","-",RIGHT(AX5,4))</f>
        <v>Q4-2022</v>
      </c>
      <c r="AZ5" s="1116" t="str">
        <f>CONCATENATE("FY",RIGHT(AU5,4)+1)</f>
        <v>FY2022</v>
      </c>
      <c r="BA5" s="774" t="str">
        <f>CONCATENATE("Q1","-",RIGHT(AZ5,4)+1)</f>
        <v>Q1-2023</v>
      </c>
      <c r="BB5" s="774" t="str">
        <f>CONCATENATE("Q2","-",RIGHT(BA5,4))</f>
        <v>Q2-2023</v>
      </c>
      <c r="BC5" s="323" t="str">
        <f>CONCATENATE("Q3","-",RIGHT(BB5,4))</f>
        <v>Q3-2023</v>
      </c>
      <c r="BD5" s="774" t="str">
        <f>CONCATENATE("Q4","-",RIGHT(BC5,4))</f>
        <v>Q4-2023</v>
      </c>
      <c r="BE5" s="1116" t="str">
        <f>CONCATENATE("FY",RIGHT(AZ5,4)+1)</f>
        <v>FY2023</v>
      </c>
      <c r="BF5" s="774" t="str">
        <f>CONCATENATE("Q1","-",RIGHT(BE5,4)+1)</f>
        <v>Q1-2024</v>
      </c>
      <c r="BG5" s="774" t="str">
        <f>CONCATENATE("Q2","-",RIGHT(BF5,4))</f>
        <v>Q2-2024</v>
      </c>
      <c r="BH5" s="940" t="str">
        <f>CONCATENATE("Q3","-",RIGHT(BG5,4))</f>
        <v>Q3-2024</v>
      </c>
      <c r="BI5" s="751" t="str">
        <f>CONCATENATE("Q4","-",RIGHT(BH5,4))</f>
        <v>Q4-2024</v>
      </c>
      <c r="BJ5" s="1117" t="str">
        <f>CONCATENATE("FY",RIGHT(BE5,4)+1)</f>
        <v>FY2024</v>
      </c>
      <c r="BK5" s="751" t="str">
        <f>CONCATENATE("Q1","-",RIGHT(BJ5,4)+1)</f>
        <v>Q1-2025</v>
      </c>
      <c r="BL5" s="751" t="str">
        <f>CONCATENATE("Q2","-",RIGHT(BK5,4))</f>
        <v>Q2-2025</v>
      </c>
      <c r="BM5" s="751" t="str">
        <f>CONCATENATE("Q3","-",RIGHT(BL5,4))</f>
        <v>Q3-2025</v>
      </c>
      <c r="BN5" s="751" t="str">
        <f>CONCATENATE("Q4","-",RIGHT(BM5,4))</f>
        <v>Q4-2025</v>
      </c>
      <c r="BO5" s="1117" t="str">
        <f>CONCATENATE("FY",RIGHT(BJ5,4)+1)</f>
        <v>FY2025</v>
      </c>
      <c r="BP5" s="1115" t="str">
        <f>CONCATENATE("FY",RIGHT(BO5,4)+1)</f>
        <v>FY2026</v>
      </c>
      <c r="BQ5" s="1115" t="str">
        <f>CONCATENATE("FY",RIGHT(BP5,4)+1)</f>
        <v>FY2027</v>
      </c>
      <c r="BR5" s="1117" t="str">
        <f>CONCATENATE("FY",RIGHT(BQ5,4)+1)</f>
        <v>FY2028</v>
      </c>
      <c r="BS5" s="38"/>
    </row>
    <row r="6" spans="1:71" s="670" customFormat="1" ht="15">
      <c r="A6" s="36" t="s">
        <v>13</v>
      </c>
      <c r="B6" s="36"/>
      <c r="C6" s="270"/>
      <c r="D6" s="270"/>
      <c r="E6" s="270"/>
      <c r="F6" s="270"/>
      <c r="G6" s="270"/>
      <c r="H6" s="270"/>
      <c r="I6" s="270"/>
      <c r="J6" s="270"/>
      <c r="K6" s="270"/>
      <c r="L6" s="270"/>
      <c r="M6" s="270"/>
      <c r="N6" s="270"/>
      <c r="O6" s="270"/>
      <c r="P6" s="270"/>
      <c r="Q6" s="270"/>
      <c r="R6" s="270"/>
      <c r="S6" s="270"/>
      <c r="T6" s="270"/>
      <c r="U6" s="270"/>
      <c r="V6" s="270"/>
      <c r="W6" s="270"/>
      <c r="X6" s="270"/>
      <c r="Y6" s="270"/>
      <c r="Z6" s="270"/>
      <c r="AA6" s="270"/>
      <c r="AB6" s="270"/>
      <c r="AC6" s="270"/>
      <c r="AD6" s="270"/>
      <c r="AE6" s="270"/>
      <c r="AF6" s="270"/>
      <c r="AG6" s="270"/>
      <c r="AH6" s="270"/>
      <c r="AI6" s="270"/>
      <c r="AJ6" s="270"/>
      <c r="AK6" s="270"/>
      <c r="AL6" s="270"/>
      <c r="AM6" s="270"/>
      <c r="AN6" s="270"/>
      <c r="AO6" s="270"/>
      <c r="AP6" s="270"/>
      <c r="AQ6" s="270"/>
      <c r="AR6" s="270"/>
      <c r="AS6" s="270"/>
      <c r="AT6" s="270"/>
      <c r="AU6" s="270"/>
      <c r="AV6" s="270"/>
      <c r="AW6" s="270"/>
      <c r="AX6" s="270"/>
      <c r="AY6" s="270"/>
      <c r="AZ6" s="270"/>
      <c r="BA6" s="270"/>
      <c r="BB6" s="270"/>
      <c r="BC6" s="270"/>
      <c r="BD6" s="270"/>
      <c r="BE6" s="270"/>
      <c r="BF6" s="270"/>
      <c r="BG6" s="270"/>
      <c r="BH6" s="377"/>
      <c r="BI6" s="36"/>
      <c r="BJ6" s="36"/>
      <c r="BK6" s="36"/>
      <c r="BL6" s="36"/>
      <c r="BM6" s="36"/>
      <c r="BN6" s="36"/>
      <c r="BO6" s="36"/>
      <c r="BP6" s="270"/>
      <c r="BQ6" s="270"/>
      <c r="BR6" s="36"/>
      <c r="BS6" s="29"/>
    </row>
    <row r="7" spans="1:71" s="671" customFormat="1" ht="15">
      <c r="A7" s="26" t="s">
        <v>14</v>
      </c>
      <c r="B7" s="470"/>
      <c r="C7" s="1118"/>
      <c r="D7" s="1118"/>
      <c r="E7" s="1118"/>
      <c r="F7" s="1119">
        <f t="shared" si="1" ref="F7:G9">F15/E15-1</f>
        <v>-0.00087989441267044555</v>
      </c>
      <c r="G7" s="1119">
        <f t="shared" si="1"/>
        <v>0.05328049317481276</v>
      </c>
      <c r="H7" s="471"/>
      <c r="I7" s="471"/>
      <c r="J7" s="471"/>
      <c r="K7" s="471"/>
      <c r="L7" s="1119">
        <f t="shared" si="2" ref="L7:U9">L15/G15-1</f>
        <v>-0.020903010033444858</v>
      </c>
      <c r="M7" s="308">
        <f t="shared" si="2"/>
        <v>0</v>
      </c>
      <c r="N7" s="308">
        <f t="shared" si="2"/>
        <v>0.02249488752556239</v>
      </c>
      <c r="O7" s="308">
        <f t="shared" si="2"/>
        <v>0.069346733668341765</v>
      </c>
      <c r="P7" s="308">
        <f t="shared" si="2"/>
        <v>0.06846473029045641</v>
      </c>
      <c r="Q7" s="1119">
        <f t="shared" si="2"/>
        <v>0.048249359521776336</v>
      </c>
      <c r="R7" s="308">
        <f t="shared" si="2"/>
        <v>0.058510638297872397</v>
      </c>
      <c r="S7" s="308">
        <f t="shared" si="2"/>
        <v>0.076000000000000068</v>
      </c>
      <c r="T7" s="308">
        <f t="shared" si="2"/>
        <v>-0.068609022556391008</v>
      </c>
      <c r="U7" s="308">
        <f t="shared" si="2"/>
        <v>0.12038834951456301</v>
      </c>
      <c r="V7" s="1119">
        <f t="shared" si="3" ref="V7:AE9">V15/Q15-1</f>
        <v>0.019959266802443976</v>
      </c>
      <c r="W7" s="308">
        <f t="shared" si="3"/>
        <v>0.045226130653266416</v>
      </c>
      <c r="X7" s="308">
        <f t="shared" si="3"/>
        <v>0.06505576208178443</v>
      </c>
      <c r="Y7" s="308">
        <f t="shared" si="3"/>
        <v>0.082744702320888042</v>
      </c>
      <c r="Z7" s="308">
        <f t="shared" si="3"/>
        <v>0.084922010398613468</v>
      </c>
      <c r="AA7" s="1119">
        <f t="shared" si="3"/>
        <v>0.07348242811501593</v>
      </c>
      <c r="AB7" s="308">
        <f t="shared" si="3"/>
        <v>0.024038461538461453</v>
      </c>
      <c r="AC7" s="308">
        <f t="shared" si="3"/>
        <v>0.073298429319371694</v>
      </c>
      <c r="AD7" s="308">
        <f t="shared" si="3"/>
        <v>-0.11183597390493938</v>
      </c>
      <c r="AE7" s="308">
        <f t="shared" si="3"/>
        <v>0.039936102236421744</v>
      </c>
      <c r="AF7" s="1119">
        <f t="shared" si="4" ref="AF7:AK9">AF15/AA15-1</f>
        <v>-0.015997023809523836</v>
      </c>
      <c r="AG7" s="308">
        <f t="shared" si="4"/>
        <v>0.030516431924882736</v>
      </c>
      <c r="AH7" s="308">
        <f t="shared" si="4"/>
        <v>-0.058536585365853711</v>
      </c>
      <c r="AI7" s="308">
        <f t="shared" si="4"/>
        <v>0.16789087093389288</v>
      </c>
      <c r="AJ7" s="308">
        <f t="shared" si="4"/>
        <v>-0.035330261136712782</v>
      </c>
      <c r="AK7" s="1119">
        <f t="shared" si="4"/>
        <v>0.043100189035916836</v>
      </c>
      <c r="AL7" s="308">
        <f t="shared" si="5" ref="AL7:AM9">AL15/AG15-1</f>
        <v>0.12528473804100226</v>
      </c>
      <c r="AM7" s="308">
        <f t="shared" si="5"/>
        <v>0.055267702936096619</v>
      </c>
      <c r="AN7" s="308">
        <f t="shared" si="6" ref="AN7:AP9">AN15/AI15-1</f>
        <v>-0.046720575022461852</v>
      </c>
      <c r="AO7" s="308">
        <f t="shared" si="6"/>
        <v>0.030254777070063632</v>
      </c>
      <c r="AP7" s="1119">
        <f t="shared" si="6"/>
        <v>0.019572308807539018</v>
      </c>
      <c r="AQ7" s="308">
        <f t="shared" si="7" ref="AQ7:AR9">AQ15/AL15-1</f>
        <v>0.052631578947368363</v>
      </c>
      <c r="AR7" s="308">
        <f t="shared" si="7"/>
        <v>0.39279869067103101</v>
      </c>
      <c r="AS7" s="308">
        <f t="shared" si="8" ref="AS7:AU9">AS15/AN15-1</f>
        <v>0.25730442978322343</v>
      </c>
      <c r="AT7" s="308">
        <f t="shared" si="8"/>
        <v>-0.13755795981452856</v>
      </c>
      <c r="AU7" s="1119">
        <f t="shared" si="8"/>
        <v>0.15997156061144691</v>
      </c>
      <c r="AV7" s="308">
        <f t="shared" si="9" ref="AV7:AW9">AV15/AQ15-1</f>
        <v>0.46153846153846145</v>
      </c>
      <c r="AW7" s="308">
        <f t="shared" si="9"/>
        <v>0.13043478260869557</v>
      </c>
      <c r="AX7" s="308">
        <f t="shared" si="10" ref="AX7:AZ9">AX15/AS15-1</f>
        <v>0.30209895052473756</v>
      </c>
      <c r="AY7" s="308">
        <f t="shared" si="10"/>
        <v>0.077060931899641583</v>
      </c>
      <c r="AZ7" s="1119">
        <f t="shared" si="10"/>
        <v>0.2442537542139136</v>
      </c>
      <c r="BA7" s="308">
        <f t="shared" si="11" ref="BA7:BB9">BA15/AV15-1</f>
        <v>0.14736842105263159</v>
      </c>
      <c r="BB7" s="308">
        <f t="shared" si="11"/>
        <v>0.10083160083160081</v>
      </c>
      <c r="BC7" s="308">
        <f t="shared" si="12" ref="BC7:BE9">BC15/AX15-1</f>
        <v>-0.08347725964306274</v>
      </c>
      <c r="BD7" s="308">
        <f t="shared" si="12"/>
        <v>0.03660565723793674</v>
      </c>
      <c r="BE7" s="1119">
        <f t="shared" si="12"/>
        <v>0.02118226600985218</v>
      </c>
      <c r="BF7" s="308">
        <f t="shared" si="13" ref="BF7:BG9">BF15/BA15-1</f>
        <v>0.099770642201834958</v>
      </c>
      <c r="BG7" s="308">
        <f t="shared" si="13"/>
        <v>0.023607176581680767</v>
      </c>
      <c r="BH7" s="868">
        <f>BH15/BC15-1</f>
        <v>0.32349246231155782</v>
      </c>
      <c r="BI7" s="1031">
        <v>0.30</v>
      </c>
      <c r="BJ7" s="1120">
        <f>BJ15/BE15-1</f>
        <v>0.19630969609261939</v>
      </c>
      <c r="BK7" s="1031">
        <v>-0.05</v>
      </c>
      <c r="BL7" s="1031">
        <v>0.10000000000000001</v>
      </c>
      <c r="BM7" s="1031">
        <v>0.05</v>
      </c>
      <c r="BN7" s="1031">
        <v>0.13</v>
      </c>
      <c r="BO7" s="1120">
        <f>BO15/BJ15-1</f>
        <v>0.054655739026996386</v>
      </c>
      <c r="BP7" s="1121">
        <v>0.02</v>
      </c>
      <c r="BQ7" s="1121">
        <v>0.02</v>
      </c>
      <c r="BR7" s="1122">
        <v>0.02</v>
      </c>
      <c r="BS7" s="27"/>
    </row>
    <row r="8" spans="1:71" s="671" customFormat="1" ht="15">
      <c r="A8" s="26" t="s">
        <v>15</v>
      </c>
      <c r="B8" s="470"/>
      <c r="C8" s="1118"/>
      <c r="D8" s="1118"/>
      <c r="E8" s="1118"/>
      <c r="F8" s="1119">
        <f t="shared" si="1"/>
        <v>0.13978494623655924</v>
      </c>
      <c r="G8" s="1119">
        <f t="shared" si="1"/>
        <v>0.20619946091644215</v>
      </c>
      <c r="H8" s="471"/>
      <c r="I8" s="471"/>
      <c r="J8" s="471"/>
      <c r="K8" s="471"/>
      <c r="L8" s="1119">
        <f t="shared" si="2"/>
        <v>0.41284916201117317</v>
      </c>
      <c r="M8" s="308">
        <f t="shared" si="2"/>
        <v>0.34714003944773175</v>
      </c>
      <c r="N8" s="308">
        <f t="shared" si="2"/>
        <v>0.0091603053435114212</v>
      </c>
      <c r="O8" s="308">
        <f t="shared" si="2"/>
        <v>0.038189533239038287</v>
      </c>
      <c r="P8" s="308">
        <f t="shared" si="2"/>
        <v>0.0015151515151514694</v>
      </c>
      <c r="Q8" s="1119">
        <f t="shared" si="2"/>
        <v>0.083036773428232458</v>
      </c>
      <c r="R8" s="308">
        <f t="shared" si="2"/>
        <v>0.02196193265007329</v>
      </c>
      <c r="S8" s="308">
        <f t="shared" si="2"/>
        <v>0.040847201210287398</v>
      </c>
      <c r="T8" s="308">
        <f t="shared" si="2"/>
        <v>-0.016348773841961872</v>
      </c>
      <c r="U8" s="308">
        <f t="shared" si="2"/>
        <v>0.034795763993948459</v>
      </c>
      <c r="V8" s="1119">
        <f t="shared" si="3"/>
        <v>0.019350127783862803</v>
      </c>
      <c r="W8" s="308">
        <f t="shared" si="3"/>
        <v>0.065902578796561695</v>
      </c>
      <c r="X8" s="308">
        <f t="shared" si="3"/>
        <v>0.098837209302325535</v>
      </c>
      <c r="Y8" s="308">
        <f t="shared" si="3"/>
        <v>0.17728531855955687</v>
      </c>
      <c r="Z8" s="308">
        <f t="shared" si="3"/>
        <v>0.077485380116959046</v>
      </c>
      <c r="AA8" s="1119">
        <f t="shared" si="3"/>
        <v>0.10565902578796571</v>
      </c>
      <c r="AB8" s="308">
        <f t="shared" si="3"/>
        <v>0.146505376344086</v>
      </c>
      <c r="AC8" s="308">
        <f t="shared" si="3"/>
        <v>0.13492063492063489</v>
      </c>
      <c r="AD8" s="308">
        <f t="shared" si="3"/>
        <v>0.12470588235294122</v>
      </c>
      <c r="AE8" s="308">
        <f t="shared" si="3"/>
        <v>0.055630936227951233</v>
      </c>
      <c r="AF8" s="1119">
        <f t="shared" si="4"/>
        <v>0.11597019760285066</v>
      </c>
      <c r="AG8" s="308">
        <f t="shared" si="4"/>
        <v>0.069167643610785534</v>
      </c>
      <c r="AH8" s="308">
        <f t="shared" si="4"/>
        <v>0.044289044289044233</v>
      </c>
      <c r="AI8" s="308">
        <f t="shared" si="4"/>
        <v>0.078451882845188337</v>
      </c>
      <c r="AJ8" s="308">
        <f t="shared" si="4"/>
        <v>0.1940874035989717</v>
      </c>
      <c r="AK8" s="1119">
        <f t="shared" si="4"/>
        <v>0.093759071117561765</v>
      </c>
      <c r="AL8" s="308">
        <f t="shared" si="5"/>
        <v>-0.069078947368421018</v>
      </c>
      <c r="AM8" s="308">
        <f t="shared" si="5"/>
        <v>-0.1607142857142857</v>
      </c>
      <c r="AN8" s="308">
        <f t="shared" si="6"/>
        <v>-0.051406401551891356</v>
      </c>
      <c r="AO8" s="308">
        <f t="shared" si="6"/>
        <v>-0.068891280947255162</v>
      </c>
      <c r="AP8" s="1119">
        <f t="shared" si="6"/>
        <v>-0.085987261146496796</v>
      </c>
      <c r="AQ8" s="308">
        <f t="shared" si="7"/>
        <v>0.064782096584216742</v>
      </c>
      <c r="AR8" s="308">
        <f t="shared" si="7"/>
        <v>0.19281914893617014</v>
      </c>
      <c r="AS8" s="308">
        <f t="shared" si="8"/>
        <v>0.14621676891615532</v>
      </c>
      <c r="AT8" s="308">
        <f t="shared" si="8"/>
        <v>0.11907514450867063</v>
      </c>
      <c r="AU8" s="1119">
        <f t="shared" si="8"/>
        <v>0.12950058072009285</v>
      </c>
      <c r="AV8" s="308">
        <f t="shared" si="9"/>
        <v>0.079646017699114946</v>
      </c>
      <c r="AW8" s="308">
        <f t="shared" si="9"/>
        <v>0.056856187290969862</v>
      </c>
      <c r="AX8" s="308">
        <f t="shared" si="10"/>
        <v>0.056199821587868071</v>
      </c>
      <c r="AY8" s="308">
        <f t="shared" si="10"/>
        <v>0.040289256198347001</v>
      </c>
      <c r="AZ8" s="1119">
        <f t="shared" si="10"/>
        <v>0.057840616966581049</v>
      </c>
      <c r="BA8" s="308">
        <f t="shared" si="11"/>
        <v>0.087090163934426146</v>
      </c>
      <c r="BB8" s="308">
        <f t="shared" si="11"/>
        <v>0.067510548523206815</v>
      </c>
      <c r="BC8" s="308">
        <f t="shared" si="12"/>
        <v>0.035472972972973027</v>
      </c>
      <c r="BD8" s="308">
        <f t="shared" si="12"/>
        <v>0.061569016881827254</v>
      </c>
      <c r="BE8" s="1119">
        <f t="shared" si="12"/>
        <v>0.061482381530984176</v>
      </c>
      <c r="BF8" s="308">
        <f t="shared" si="13"/>
        <v>0.033930254476908672</v>
      </c>
      <c r="BG8" s="308">
        <f t="shared" si="13"/>
        <v>0.010869565217391353</v>
      </c>
      <c r="BH8" s="868">
        <f>BH16/BC16-1</f>
        <v>0.057911908646003152</v>
      </c>
      <c r="BI8" s="1031">
        <v>0.13</v>
      </c>
      <c r="BJ8" s="1120">
        <f>BJ16/BE16-1</f>
        <v>0.058830128205128007</v>
      </c>
      <c r="BK8" s="1031">
        <v>0.02</v>
      </c>
      <c r="BL8" s="1031">
        <v>0.10000000000000001</v>
      </c>
      <c r="BM8" s="1031">
        <v>0.05</v>
      </c>
      <c r="BN8" s="1031">
        <v>0.13</v>
      </c>
      <c r="BO8" s="1120">
        <f>BO16/BJ16-1</f>
        <v>0.074838561114991098</v>
      </c>
      <c r="BP8" s="1121">
        <v>0.05</v>
      </c>
      <c r="BQ8" s="1121">
        <v>0.080000000000000071</v>
      </c>
      <c r="BR8" s="1122">
        <v>0.080000000000000071</v>
      </c>
      <c r="BS8" s="27"/>
    </row>
    <row r="9" spans="1:71" s="671" customFormat="1" ht="15">
      <c r="A9" s="45" t="s">
        <v>16</v>
      </c>
      <c r="B9" s="472"/>
      <c r="C9" s="1123"/>
      <c r="D9" s="1123"/>
      <c r="E9" s="1123"/>
      <c r="F9" s="1124">
        <f t="shared" si="1"/>
        <v>0.069943289224952743</v>
      </c>
      <c r="G9" s="1124">
        <f t="shared" si="1"/>
        <v>0.098939929328621945</v>
      </c>
      <c r="H9" s="473"/>
      <c r="I9" s="473"/>
      <c r="J9" s="473"/>
      <c r="K9" s="473"/>
      <c r="L9" s="1124">
        <f t="shared" si="2"/>
        <v>-0.027331189710610881</v>
      </c>
      <c r="M9" s="42">
        <f t="shared" si="2"/>
        <v>-0.028368794326241176</v>
      </c>
      <c r="N9" s="42">
        <f t="shared" si="2"/>
        <v>0.068027210884353817</v>
      </c>
      <c r="O9" s="42">
        <f t="shared" si="2"/>
        <v>0.044585987261146487</v>
      </c>
      <c r="P9" s="42">
        <f t="shared" si="2"/>
        <v>0.11874999999999991</v>
      </c>
      <c r="Q9" s="1124">
        <f t="shared" si="2"/>
        <v>0.052892561983471031</v>
      </c>
      <c r="R9" s="42">
        <f t="shared" si="2"/>
        <v>0.072992700729926918</v>
      </c>
      <c r="S9" s="42">
        <f t="shared" si="2"/>
        <v>0.095541401273885329</v>
      </c>
      <c r="T9" s="42">
        <f t="shared" si="2"/>
        <v>0.13414634146341453</v>
      </c>
      <c r="U9" s="42">
        <f t="shared" si="2"/>
        <v>0.0055865921787709993</v>
      </c>
      <c r="V9" s="1124">
        <f t="shared" si="3"/>
        <v>0.075353218210361117</v>
      </c>
      <c r="W9" s="42">
        <f t="shared" si="3"/>
        <v>0.11564625850340127</v>
      </c>
      <c r="X9" s="42">
        <f t="shared" si="3"/>
        <v>0.011627906976744207</v>
      </c>
      <c r="Y9" s="42">
        <f t="shared" si="3"/>
        <v>-0.026881720430107503</v>
      </c>
      <c r="Z9" s="42">
        <f t="shared" si="3"/>
        <v>0.15555555555555545</v>
      </c>
      <c r="AA9" s="1124">
        <f t="shared" si="3"/>
        <v>0.0613138686131387</v>
      </c>
      <c r="AB9" s="42">
        <f t="shared" si="3"/>
        <v>0.091463414634146423</v>
      </c>
      <c r="AC9" s="42">
        <f t="shared" si="3"/>
        <v>0.10344827586206895</v>
      </c>
      <c r="AD9" s="42">
        <f t="shared" si="3"/>
        <v>0.077348066298342566</v>
      </c>
      <c r="AE9" s="42">
        <f t="shared" si="3"/>
        <v>-0.11538461538461542</v>
      </c>
      <c r="AF9" s="1124">
        <f t="shared" si="4"/>
        <v>0.031636863823933936</v>
      </c>
      <c r="AG9" s="42">
        <f t="shared" si="4"/>
        <v>0.027932960893854775</v>
      </c>
      <c r="AH9" s="42">
        <f t="shared" si="4"/>
        <v>-0.015625</v>
      </c>
      <c r="AI9" s="42">
        <f t="shared" si="4"/>
        <v>0.061538461538461542</v>
      </c>
      <c r="AJ9" s="42">
        <f t="shared" si="4"/>
        <v>0.043478260869565188</v>
      </c>
      <c r="AK9" s="1124">
        <f t="shared" si="4"/>
        <v>0.029333333333333433</v>
      </c>
      <c r="AL9" s="42">
        <f t="shared" si="5"/>
        <v>-0.0054347826086956763</v>
      </c>
      <c r="AM9" s="42">
        <f t="shared" si="5"/>
        <v>-0.068783068783068835</v>
      </c>
      <c r="AN9" s="42">
        <f t="shared" si="6"/>
        <v>-0.11111111111111116</v>
      </c>
      <c r="AO9" s="42">
        <f t="shared" si="6"/>
        <v>0.015625</v>
      </c>
      <c r="AP9" s="1124">
        <f t="shared" si="6"/>
        <v>-0.044041450777202118</v>
      </c>
      <c r="AQ9" s="42">
        <f t="shared" si="7"/>
        <v>0.049180327868852514</v>
      </c>
      <c r="AR9" s="42">
        <f t="shared" si="7"/>
        <v>0.073863636363636465</v>
      </c>
      <c r="AS9" s="42">
        <f t="shared" si="8"/>
        <v>0.092391304347826164</v>
      </c>
      <c r="AT9" s="42">
        <f t="shared" si="8"/>
        <v>0.082051282051281982</v>
      </c>
      <c r="AU9" s="1124">
        <f t="shared" si="8"/>
        <v>0.074525745257452591</v>
      </c>
      <c r="AV9" s="42">
        <f t="shared" si="9"/>
        <v>0.041666666666666741</v>
      </c>
      <c r="AW9" s="42">
        <f t="shared" si="9"/>
        <v>0.12698412698412698</v>
      </c>
      <c r="AX9" s="42">
        <f t="shared" si="10"/>
        <v>0.15422885572139311</v>
      </c>
      <c r="AY9" s="42">
        <f t="shared" si="10"/>
        <v>0.12322274881516582</v>
      </c>
      <c r="AZ9" s="1124">
        <f t="shared" si="10"/>
        <v>0.11223203026481721</v>
      </c>
      <c r="BA9" s="42">
        <f t="shared" si="11"/>
        <v>0.1100000000000001</v>
      </c>
      <c r="BB9" s="42">
        <f t="shared" si="11"/>
        <v>0.39906103286384975</v>
      </c>
      <c r="BC9" s="42">
        <f t="shared" si="12"/>
        <v>0.38793103448275867</v>
      </c>
      <c r="BD9" s="42">
        <f t="shared" si="12"/>
        <v>0.26582278481012667</v>
      </c>
      <c r="BE9" s="1124">
        <f t="shared" si="12"/>
        <v>0.29478458049886624</v>
      </c>
      <c r="BF9" s="42">
        <f t="shared" si="13"/>
        <v>0.26126126126126126</v>
      </c>
      <c r="BG9" s="42">
        <f t="shared" si="13"/>
        <v>0.0033557046979866278</v>
      </c>
      <c r="BH9" s="869">
        <f>BH17/BC17-1</f>
        <v>0.068322981366459645</v>
      </c>
      <c r="BI9" s="1034">
        <v>0.12</v>
      </c>
      <c r="BJ9" s="1123">
        <f>BJ17/BE17-1</f>
        <v>0.10245183887915932</v>
      </c>
      <c r="BK9" s="1034">
        <v>0.02</v>
      </c>
      <c r="BL9" s="1034">
        <v>0.10000000000000001</v>
      </c>
      <c r="BM9" s="1034">
        <v>0.05</v>
      </c>
      <c r="BN9" s="1034">
        <v>0.12</v>
      </c>
      <c r="BO9" s="1123">
        <f>BO17/BJ17-1</f>
        <v>0.073884034948371813</v>
      </c>
      <c r="BP9" s="1125">
        <v>0.05</v>
      </c>
      <c r="BQ9" s="1125">
        <v>0.070000000000000062</v>
      </c>
      <c r="BR9" s="1125">
        <v>0.070000000000000062</v>
      </c>
      <c r="BS9" s="27"/>
    </row>
    <row r="10" spans="1:71" s="670" customFormat="1" ht="15">
      <c r="A10" s="67" t="s">
        <v>17</v>
      </c>
      <c r="B10" s="474"/>
      <c r="C10" s="1126"/>
      <c r="D10" s="1126"/>
      <c r="E10" s="1126"/>
      <c r="F10" s="1127">
        <f>F20/E20-1</f>
        <v>0.052362396492937169</v>
      </c>
      <c r="G10" s="1127">
        <f>G20/F20-1</f>
        <v>0.11201110853968999</v>
      </c>
      <c r="H10" s="475"/>
      <c r="I10" s="475"/>
      <c r="J10" s="475"/>
      <c r="K10" s="475"/>
      <c r="L10" s="1127">
        <f t="shared" si="14" ref="L10:AK10">L20/G20-1</f>
        <v>0.13985431841831431</v>
      </c>
      <c r="M10" s="110">
        <f t="shared" si="14"/>
        <v>0.16796875</v>
      </c>
      <c r="N10" s="110">
        <f t="shared" si="14"/>
        <v>0.020914020139426892</v>
      </c>
      <c r="O10" s="110">
        <f t="shared" si="14"/>
        <v>0.055406132329209212</v>
      </c>
      <c r="P10" s="110">
        <f t="shared" si="14"/>
        <v>0.040675364543361514</v>
      </c>
      <c r="Q10" s="1127">
        <f t="shared" si="14"/>
        <v>0.064816505386160239</v>
      </c>
      <c r="R10" s="110">
        <f t="shared" si="14"/>
        <v>0.039297658862876172</v>
      </c>
      <c r="S10" s="110">
        <f t="shared" si="14"/>
        <v>0.060698027314112224</v>
      </c>
      <c r="T10" s="110">
        <f t="shared" si="14"/>
        <v>-0.032110091743119296</v>
      </c>
      <c r="U10" s="110">
        <f t="shared" si="14"/>
        <v>0.062684365781710882</v>
      </c>
      <c r="V10" s="1127">
        <f t="shared" si="14"/>
        <v>0.025548696844993168</v>
      </c>
      <c r="W10" s="110">
        <f t="shared" si="14"/>
        <v>0.065164923572003319</v>
      </c>
      <c r="X10" s="110">
        <f t="shared" si="14"/>
        <v>0.07510729613733913</v>
      </c>
      <c r="Y10" s="110">
        <f t="shared" si="14"/>
        <v>0.10795155344918372</v>
      </c>
      <c r="Z10" s="110">
        <f t="shared" si="14"/>
        <v>0.090215128383067222</v>
      </c>
      <c r="AA10" s="1127">
        <f t="shared" si="14"/>
        <v>0.087109179067045739</v>
      </c>
      <c r="AB10" s="110">
        <f t="shared" si="14"/>
        <v>0.1012084592145015</v>
      </c>
      <c r="AC10" s="110">
        <f t="shared" si="14"/>
        <v>0.10778443113772451</v>
      </c>
      <c r="AD10" s="110">
        <f t="shared" si="14"/>
        <v>0</v>
      </c>
      <c r="AE10" s="110">
        <f t="shared" si="14"/>
        <v>0.026734563971992253</v>
      </c>
      <c r="AF10" s="1127">
        <f t="shared" si="14"/>
        <v>0.051984004921562521</v>
      </c>
      <c r="AG10" s="110">
        <f t="shared" si="14"/>
        <v>0.052812071330589738</v>
      </c>
      <c r="AH10" s="110">
        <f t="shared" si="14"/>
        <v>-0.00060060060060063147</v>
      </c>
      <c r="AI10" s="110">
        <f t="shared" si="14"/>
        <v>0.11739543726235735</v>
      </c>
      <c r="AJ10" s="110">
        <f t="shared" si="14"/>
        <v>0.084314941103533769</v>
      </c>
      <c r="AK10" s="1127">
        <f t="shared" si="14"/>
        <v>0.067105263157894779</v>
      </c>
      <c r="AL10" s="110">
        <f t="shared" si="15" ref="AL10:AQ10">AL20/AG20-1</f>
        <v>0.030618892508143425</v>
      </c>
      <c r="AM10" s="110">
        <f t="shared" si="15"/>
        <v>-0.066706730769230727</v>
      </c>
      <c r="AN10" s="110">
        <f t="shared" si="15"/>
        <v>-0.051042109740535913</v>
      </c>
      <c r="AO10" s="110">
        <f t="shared" si="15"/>
        <v>-0.016009148084619729</v>
      </c>
      <c r="AP10" s="1127">
        <f t="shared" si="15"/>
        <v>-0.029045074667762738</v>
      </c>
      <c r="AQ10" s="110">
        <f t="shared" si="15"/>
        <v>0.021491782553729522</v>
      </c>
      <c r="AR10" s="110">
        <f>AR20/AM20-1</f>
        <v>0.24726336123631687</v>
      </c>
      <c r="AS10" s="110">
        <f>AS20/AN20-1</f>
        <v>0.19049753473778575</v>
      </c>
      <c r="AT10" s="110">
        <f>AT20/AO20-1</f>
        <v>0.0092969203951192014</v>
      </c>
      <c r="AU10" s="1127">
        <f>AU20/AP20-1</f>
        <v>0.121207845350642</v>
      </c>
      <c r="AV10" s="110">
        <f t="shared" si="16" ref="AV10:AZ10">AV20/AQ20-1</f>
        <v>0.19801980198019797</v>
      </c>
      <c r="AW10" s="110">
        <f t="shared" si="16"/>
        <v>0.096024780588539027</v>
      </c>
      <c r="AX10" s="110">
        <f t="shared" si="16"/>
        <v>0.18712349397590367</v>
      </c>
      <c r="AY10" s="110">
        <f t="shared" si="16"/>
        <v>0.062176165803108807</v>
      </c>
      <c r="AZ10" s="1127">
        <f t="shared" si="16"/>
        <v>0.13981877674301546</v>
      </c>
      <c r="BA10" s="110">
        <f t="shared" si="17" ref="BA10:BI10">BA20/AV20-1</f>
        <v>0.11311983471074383</v>
      </c>
      <c r="BB10" s="110">
        <f t="shared" si="17"/>
        <v>0.11587376354215739</v>
      </c>
      <c r="BC10" s="110">
        <f t="shared" si="17"/>
        <v>-0.0041230574056454472</v>
      </c>
      <c r="BD10" s="110">
        <f t="shared" si="17"/>
        <v>0.079674796747967402</v>
      </c>
      <c r="BE10" s="1127">
        <f t="shared" si="17"/>
        <v>0.066136689853152353</v>
      </c>
      <c r="BF10" s="110">
        <f>BF20/BA20-1</f>
        <v>0.083990719257540647</v>
      </c>
      <c r="BG10" s="110">
        <f>BG20/BB20-1</f>
        <v>0.015618404390038032</v>
      </c>
      <c r="BH10" s="870">
        <f>BH20/BC20-1</f>
        <v>0.1936305732484076</v>
      </c>
      <c r="BI10" s="475">
        <f t="shared" si="17"/>
        <v>0.18166164658634543</v>
      </c>
      <c r="BJ10" s="1126">
        <f t="shared" si="18" ref="BJ10">BJ20/BE20-1</f>
        <v>0.12301884838442412</v>
      </c>
      <c r="BK10" s="475">
        <f>BK20/BF20-1</f>
        <v>-0.0087371575342465313</v>
      </c>
      <c r="BL10" s="475">
        <f>BL20/BG20-1</f>
        <v>0.10000000000000009</v>
      </c>
      <c r="BM10" s="475">
        <f>BM20/BH20-1</f>
        <v>0.049999999999999822</v>
      </c>
      <c r="BN10" s="475">
        <f>BN20/BI20-1</f>
        <v>0.12857256348056589</v>
      </c>
      <c r="BO10" s="1126">
        <f>BO20/BJ20-1</f>
        <v>0.065496275776083746</v>
      </c>
      <c r="BP10" s="1126">
        <f>BP20/BO20-1</f>
        <v>0.036417845795403858</v>
      </c>
      <c r="BQ10" s="1126">
        <f>BQ20/BP20-1</f>
        <v>0.052080500829158938</v>
      </c>
      <c r="BR10" s="1126">
        <f>BR20/BQ20-1</f>
        <v>0.052875493751934233</v>
      </c>
      <c r="BS10" s="29"/>
    </row>
    <row r="11" spans="1:71" s="670" customFormat="1" ht="15">
      <c r="A11" s="25" t="s">
        <v>18</v>
      </c>
      <c r="B11" s="476"/>
      <c r="C11" s="1128"/>
      <c r="D11" s="1128"/>
      <c r="E11" s="1128"/>
      <c r="F11" s="1129">
        <f>F41/E41-1</f>
        <v>0.031895614353026458</v>
      </c>
      <c r="G11" s="1129">
        <f>G41/F41-1</f>
        <v>0.12539515279241309</v>
      </c>
      <c r="H11" s="477"/>
      <c r="I11" s="477"/>
      <c r="J11" s="477"/>
      <c r="K11" s="477"/>
      <c r="L11" s="1129">
        <f t="shared" si="19" ref="L11:AK11">L41/G41-1</f>
        <v>0.21036204744069908</v>
      </c>
      <c r="M11" s="309">
        <f t="shared" si="19"/>
        <v>0.25464190981432355</v>
      </c>
      <c r="N11" s="309">
        <f t="shared" si="19"/>
        <v>0.058002148227712214</v>
      </c>
      <c r="O11" s="309">
        <f t="shared" si="19"/>
        <v>0.036219081272084841</v>
      </c>
      <c r="P11" s="309">
        <f t="shared" si="19"/>
        <v>0.055607917059377954</v>
      </c>
      <c r="Q11" s="1129">
        <f t="shared" si="19"/>
        <v>0.089221248066013503</v>
      </c>
      <c r="R11" s="309">
        <f t="shared" si="19"/>
        <v>0.054968287526427018</v>
      </c>
      <c r="S11" s="309">
        <f t="shared" si="19"/>
        <v>0.042639593908629481</v>
      </c>
      <c r="T11" s="309">
        <f t="shared" si="19"/>
        <v>-0.011935208866155178</v>
      </c>
      <c r="U11" s="309">
        <f t="shared" si="19"/>
        <v>0.021428571428571352</v>
      </c>
      <c r="V11" s="1129">
        <f t="shared" si="19"/>
        <v>0.024621212121212155</v>
      </c>
      <c r="W11" s="309">
        <f t="shared" si="19"/>
        <v>0.024048096192384794</v>
      </c>
      <c r="X11" s="309">
        <f t="shared" si="19"/>
        <v>0.037000973709834462</v>
      </c>
      <c r="Y11" s="309">
        <f t="shared" si="19"/>
        <v>0.093183779119931032</v>
      </c>
      <c r="Z11" s="309">
        <f t="shared" si="19"/>
        <v>0.070804195804195835</v>
      </c>
      <c r="AA11" s="1129">
        <f t="shared" si="19"/>
        <v>0.057994454713493626</v>
      </c>
      <c r="AB11" s="309">
        <f t="shared" si="19"/>
        <v>0.083170254403131194</v>
      </c>
      <c r="AC11" s="309">
        <f t="shared" si="19"/>
        <v>0.090140845070422637</v>
      </c>
      <c r="AD11" s="309">
        <f t="shared" si="19"/>
        <v>0.047355958958168909</v>
      </c>
      <c r="AE11" s="309">
        <f t="shared" si="19"/>
        <v>0.036734693877551017</v>
      </c>
      <c r="AF11" s="1129">
        <f t="shared" si="19"/>
        <v>0.0624590521948023</v>
      </c>
      <c r="AG11" s="309">
        <f t="shared" si="19"/>
        <v>0.059620596205962162</v>
      </c>
      <c r="AH11" s="309">
        <f t="shared" si="19"/>
        <v>0.033591731266149782</v>
      </c>
      <c r="AI11" s="309">
        <f t="shared" si="19"/>
        <v>0.086661642803315786</v>
      </c>
      <c r="AJ11" s="309">
        <f t="shared" si="19"/>
        <v>0.078740157480315043</v>
      </c>
      <c r="AK11" s="1129">
        <f t="shared" si="19"/>
        <v>0.065775950668037098</v>
      </c>
      <c r="AL11" s="309">
        <f t="shared" si="20" ref="AL11:AQ11">AL41/AG41-1</f>
        <v>0.030690537084399061</v>
      </c>
      <c r="AM11" s="309">
        <f t="shared" si="20"/>
        <v>-0.013333333333333308</v>
      </c>
      <c r="AN11" s="309">
        <f t="shared" si="20"/>
        <v>-0.0423023578363384</v>
      </c>
      <c r="AO11" s="309">
        <f t="shared" si="20"/>
        <v>-0.032846715328467169</v>
      </c>
      <c r="AP11" s="1129">
        <f t="shared" si="20"/>
        <v>-0.016586306653809113</v>
      </c>
      <c r="AQ11" s="309">
        <f t="shared" si="20"/>
        <v>-0.029776674937965208</v>
      </c>
      <c r="AR11" s="309">
        <f>AR41/AM41-1</f>
        <v>0.055743243243243201</v>
      </c>
      <c r="AS11" s="309">
        <f>AS41/AN41-1</f>
        <v>0.10716871832005803</v>
      </c>
      <c r="AT11" s="309">
        <f>AT41/AO41-1</f>
        <v>0.095849056603773519</v>
      </c>
      <c r="AU11" s="1129">
        <f>AU41/AP41-1</f>
        <v>0.059815650127476028</v>
      </c>
      <c r="AV11" s="309">
        <f t="shared" si="21" ref="AV11:AZ11">AV41/AQ41-1</f>
        <v>0.10997442455242967</v>
      </c>
      <c r="AW11" s="309">
        <f t="shared" si="21"/>
        <v>0.11440000000000006</v>
      </c>
      <c r="AX11" s="309">
        <f t="shared" si="21"/>
        <v>0.15565729234793979</v>
      </c>
      <c r="AY11" s="309">
        <f t="shared" si="21"/>
        <v>0.11776859504132231</v>
      </c>
      <c r="AZ11" s="1129">
        <f t="shared" si="21"/>
        <v>0.12601776461880099</v>
      </c>
      <c r="BA11" s="309">
        <f t="shared" si="22" ref="BA11:BI11">BA41/AV41-1</f>
        <v>0.1036866359447004</v>
      </c>
      <c r="BB11" s="309">
        <f t="shared" si="22"/>
        <v>0.081837760229720002</v>
      </c>
      <c r="BC11" s="309">
        <f t="shared" si="22"/>
        <v>0.049801924165251865</v>
      </c>
      <c r="BD11" s="309">
        <f t="shared" si="22"/>
        <v>0.067159581022797399</v>
      </c>
      <c r="BE11" s="1129">
        <f t="shared" si="22"/>
        <v>0.073294987674609624</v>
      </c>
      <c r="BF11" s="309">
        <f>BF41/BA41-1</f>
        <v>0.075852470424495388</v>
      </c>
      <c r="BG11" s="309">
        <f>BG41/BB41-1</f>
        <v>0.051758460517584703</v>
      </c>
      <c r="BH11" s="871">
        <f>BH41/BC41-1</f>
        <v>0.1078167115902966</v>
      </c>
      <c r="BI11" s="752">
        <f t="shared" si="22"/>
        <v>-0.17248060046189395</v>
      </c>
      <c r="BJ11" s="1130">
        <f t="shared" si="23" ref="BJ11">BJ41/BE41-1</f>
        <v>0.013514561322921503</v>
      </c>
      <c r="BK11" s="752">
        <f>BK41/BF41-1</f>
        <v>-0.0072880239327295371</v>
      </c>
      <c r="BL11" s="752">
        <f>BL41/BG41-1</f>
        <v>-0.022649558359621347</v>
      </c>
      <c r="BM11" s="752">
        <f>BM41/BH41-1</f>
        <v>-0.17200560583941593</v>
      </c>
      <c r="BN11" s="752">
        <f>BN41/BI41-1</f>
        <v>0.092143625917800343</v>
      </c>
      <c r="BO11" s="1130">
        <f>BO41/BJ41-1</f>
        <v>-0.04057433971960267</v>
      </c>
      <c r="BP11" s="1128">
        <f>BP41/BO41-1</f>
        <v>0.1300171154806633</v>
      </c>
      <c r="BQ11" s="1128">
        <f>BQ41/BP41-1</f>
        <v>0.29762019655074856</v>
      </c>
      <c r="BR11" s="1130">
        <f>BR41/BQ41-1</f>
        <v>0.053574597589056916</v>
      </c>
      <c r="BS11" s="29"/>
    </row>
    <row r="12" spans="1:71" s="670" customFormat="1" ht="15">
      <c r="A12" s="25" t="s">
        <v>19</v>
      </c>
      <c r="B12" s="476"/>
      <c r="C12" s="1128"/>
      <c r="D12" s="1128"/>
      <c r="E12" s="1128"/>
      <c r="F12" s="1129">
        <f>F90/E90-1</f>
        <v>-0.51666666666666661</v>
      </c>
      <c r="G12" s="1129">
        <f>G90/F90-1</f>
        <v>0.66666666666666674</v>
      </c>
      <c r="H12" s="477"/>
      <c r="I12" s="477"/>
      <c r="J12" s="477"/>
      <c r="K12" s="477"/>
      <c r="L12" s="1129">
        <f t="shared" si="24" ref="L12:AK12">L90/G90-1</f>
        <v>0.46206896551724141</v>
      </c>
      <c r="M12" s="309">
        <f t="shared" si="24"/>
        <v>-0.017241379310344862</v>
      </c>
      <c r="N12" s="309">
        <f t="shared" si="24"/>
        <v>0.5862068965517242</v>
      </c>
      <c r="O12" s="309">
        <f t="shared" si="24"/>
        <v>-0.73913043478260865</v>
      </c>
      <c r="P12" s="309">
        <f t="shared" si="24"/>
        <v>0.18987341772151889</v>
      </c>
      <c r="Q12" s="1129">
        <f t="shared" si="24"/>
        <v>-0.014150943396226467</v>
      </c>
      <c r="R12" s="309">
        <f t="shared" si="24"/>
        <v>0.45614035087719307</v>
      </c>
      <c r="S12" s="309">
        <f t="shared" si="24"/>
        <v>-1.1739130434782608</v>
      </c>
      <c r="T12" s="309">
        <f t="shared" si="24"/>
        <v>2.1666666666666665</v>
      </c>
      <c r="U12" s="309">
        <f t="shared" si="24"/>
        <v>0.1063829787234043</v>
      </c>
      <c r="V12" s="1129">
        <f t="shared" si="24"/>
        <v>0.038277511961722466</v>
      </c>
      <c r="W12" s="309">
        <f t="shared" si="24"/>
        <v>-0.10843373493975905</v>
      </c>
      <c r="X12" s="309">
        <f t="shared" si="24"/>
        <v>-9</v>
      </c>
      <c r="Y12" s="309">
        <f t="shared" si="24"/>
        <v>-3.236842105263158</v>
      </c>
      <c r="Z12" s="309">
        <f t="shared" si="24"/>
        <v>0.57692307692307687</v>
      </c>
      <c r="AA12" s="1129">
        <f t="shared" si="24"/>
        <v>0</v>
      </c>
      <c r="AB12" s="309">
        <f t="shared" si="24"/>
        <v>0.14864864864864868</v>
      </c>
      <c r="AC12" s="309">
        <f t="shared" si="24"/>
        <v>0.0625</v>
      </c>
      <c r="AD12" s="309">
        <f t="shared" si="24"/>
        <v>-1.3647058823529412</v>
      </c>
      <c r="AE12" s="309">
        <f t="shared" si="24"/>
        <v>-0.42073170731707321</v>
      </c>
      <c r="AF12" s="1129">
        <f t="shared" si="24"/>
        <v>0.28571428571428581</v>
      </c>
      <c r="AG12" s="309">
        <f t="shared" si="24"/>
        <v>-0.035294117647058809</v>
      </c>
      <c r="AH12" s="309">
        <f t="shared" si="24"/>
        <v>-0.25</v>
      </c>
      <c r="AI12" s="309">
        <f t="shared" si="24"/>
        <v>0.54838709677419351</v>
      </c>
      <c r="AJ12" s="309">
        <f t="shared" si="24"/>
        <v>-0.91578947368421049</v>
      </c>
      <c r="AK12" s="1129">
        <f t="shared" si="24"/>
        <v>-0.32258064516129037</v>
      </c>
      <c r="AL12" s="309">
        <f t="shared" si="25" ref="AL12:AQ12">AL90/AG90-1</f>
        <v>0</v>
      </c>
      <c r="AM12" s="309">
        <f t="shared" si="25"/>
        <v>-0.92156862745098045</v>
      </c>
      <c r="AN12" s="309">
        <f t="shared" si="25"/>
        <v>-0.75</v>
      </c>
      <c r="AO12" s="309">
        <f t="shared" si="25"/>
        <v>12.125</v>
      </c>
      <c r="AP12" s="1129">
        <f t="shared" si="25"/>
        <v>0.074074074074074181</v>
      </c>
      <c r="AQ12" s="309">
        <f t="shared" si="25"/>
        <v>0.53658536585365857</v>
      </c>
      <c r="AR12" s="309">
        <f>AR90/AM90-1</f>
        <v>35.75</v>
      </c>
      <c r="AS12" s="309">
        <f>AS90/AN90-1</f>
        <v>12.25</v>
      </c>
      <c r="AT12" s="309">
        <f>AT90/AO90-1</f>
        <v>1.5904761904761906</v>
      </c>
      <c r="AU12" s="1129">
        <f>AU90/AP90-1</f>
        <v>2.4679802955665027</v>
      </c>
      <c r="AV12" s="309">
        <f t="shared" si="26" ref="AV12:AZ12">AV90/AQ90-1</f>
        <v>0.55555555555555558</v>
      </c>
      <c r="AW12" s="309">
        <f t="shared" si="26"/>
        <v>0.27891156462585043</v>
      </c>
      <c r="AX12" s="309">
        <f t="shared" si="26"/>
        <v>-0.062893081761006275</v>
      </c>
      <c r="AY12" s="309">
        <f t="shared" si="26"/>
        <v>-0.23161764705882348</v>
      </c>
      <c r="AZ12" s="1129">
        <f t="shared" si="26"/>
        <v>0.053977272727272707</v>
      </c>
      <c r="BA12" s="309">
        <f t="shared" si="27" ref="BA12:BI12">BA90/AV90-1</f>
        <v>-0.26020408163265307</v>
      </c>
      <c r="BB12" s="309">
        <f t="shared" si="27"/>
        <v>-0.38297872340425532</v>
      </c>
      <c r="BC12" s="309">
        <f t="shared" si="27"/>
        <v>-0.19463087248322153</v>
      </c>
      <c r="BD12" s="309">
        <f t="shared" si="27"/>
        <v>-0.043062200956937802</v>
      </c>
      <c r="BE12" s="1129">
        <f t="shared" si="27"/>
        <v>-0.21698113207547165</v>
      </c>
      <c r="BF12" s="309">
        <f>BF90/BA90-1</f>
        <v>-0.055172413793103448</v>
      </c>
      <c r="BG12" s="309">
        <f>BG90/BB90-1</f>
        <v>0.23275862068965525</v>
      </c>
      <c r="BH12" s="871">
        <f>BH90/BC90-1</f>
        <v>-0.091666666666666674</v>
      </c>
      <c r="BI12" s="752">
        <f t="shared" si="27"/>
        <v>-0.27583860999999987</v>
      </c>
      <c r="BJ12" s="1130">
        <f t="shared" si="28" ref="BJ12">BJ90/BE90-1</f>
        <v>-0.081183686746987838</v>
      </c>
      <c r="BK12" s="752">
        <f>BK90/BF90-1</f>
        <v>0.74503165291970741</v>
      </c>
      <c r="BL12" s="752">
        <f>BL90/BG90-1</f>
        <v>0.34299033566433534</v>
      </c>
      <c r="BM12" s="752">
        <f>BM90/BH90-1</f>
        <v>0.96775898807339478</v>
      </c>
      <c r="BN12" s="752">
        <f>BN90/BI90-1</f>
        <v>0.80903281311366171</v>
      </c>
      <c r="BO12" s="1130">
        <f>BO90/BJ90-1</f>
        <v>0.70017637534087052</v>
      </c>
      <c r="BP12" s="1128">
        <f>BP90/BO90-1</f>
        <v>-0.012371011228695883</v>
      </c>
      <c r="BQ12" s="1128">
        <f>BQ90/BP90-1</f>
        <v>0.31779515257649082</v>
      </c>
      <c r="BR12" s="1130">
        <f>BR90/BQ90-1</f>
        <v>0.054840080927843315</v>
      </c>
      <c r="BS12" s="29"/>
    </row>
    <row r="13" spans="1:71" s="671" customFormat="1" ht="15">
      <c r="A13" s="478"/>
      <c r="B13" s="470"/>
      <c r="C13" s="1118"/>
      <c r="D13" s="1118"/>
      <c r="E13" s="1118"/>
      <c r="F13" s="1118"/>
      <c r="G13" s="1118"/>
      <c r="H13" s="471"/>
      <c r="I13" s="471"/>
      <c r="J13" s="471"/>
      <c r="K13" s="471"/>
      <c r="L13" s="1118"/>
      <c r="M13" s="471"/>
      <c r="N13" s="471"/>
      <c r="O13" s="471"/>
      <c r="P13" s="471"/>
      <c r="Q13" s="1118"/>
      <c r="R13" s="471"/>
      <c r="S13" s="471"/>
      <c r="T13" s="471"/>
      <c r="U13" s="471"/>
      <c r="V13" s="1118"/>
      <c r="W13" s="471"/>
      <c r="X13" s="471"/>
      <c r="Y13" s="471"/>
      <c r="Z13" s="471"/>
      <c r="AA13" s="1118"/>
      <c r="AB13" s="471"/>
      <c r="AC13" s="471"/>
      <c r="AD13" s="471"/>
      <c r="AE13" s="471"/>
      <c r="AF13" s="1118"/>
      <c r="AG13" s="471"/>
      <c r="AH13" s="471"/>
      <c r="AI13" s="471"/>
      <c r="AJ13" s="471"/>
      <c r="AK13" s="1118"/>
      <c r="AL13" s="471"/>
      <c r="AM13" s="471"/>
      <c r="AN13" s="471"/>
      <c r="AO13" s="471"/>
      <c r="AP13" s="1118"/>
      <c r="AQ13" s="471"/>
      <c r="AR13" s="471"/>
      <c r="AS13" s="471"/>
      <c r="AT13" s="471"/>
      <c r="AU13" s="1118"/>
      <c r="AV13" s="471"/>
      <c r="AW13" s="471"/>
      <c r="AX13" s="471"/>
      <c r="AY13" s="471"/>
      <c r="AZ13" s="1118"/>
      <c r="BA13" s="471"/>
      <c r="BB13" s="471"/>
      <c r="BC13" s="471"/>
      <c r="BD13" s="471"/>
      <c r="BE13" s="1118"/>
      <c r="BF13" s="471"/>
      <c r="BG13" s="471"/>
      <c r="BH13" s="872"/>
      <c r="BI13" s="479"/>
      <c r="BJ13" s="1120"/>
      <c r="BK13" s="479"/>
      <c r="BL13" s="479"/>
      <c r="BM13" s="479"/>
      <c r="BN13" s="479"/>
      <c r="BO13" s="1120"/>
      <c r="BP13" s="1118"/>
      <c r="BQ13" s="1118"/>
      <c r="BR13" s="1120"/>
      <c r="BS13" s="27"/>
    </row>
    <row r="14" spans="1:71" s="672" customFormat="1" ht="15">
      <c r="A14" s="951" t="s">
        <v>20</v>
      </c>
      <c r="B14" s="951"/>
      <c r="C14" s="967"/>
      <c r="D14" s="967"/>
      <c r="E14" s="967"/>
      <c r="F14" s="967"/>
      <c r="G14" s="967"/>
      <c r="H14" s="967"/>
      <c r="I14" s="967"/>
      <c r="J14" s="967"/>
      <c r="K14" s="967"/>
      <c r="L14" s="967"/>
      <c r="M14" s="967"/>
      <c r="N14" s="967"/>
      <c r="O14" s="967"/>
      <c r="P14" s="967"/>
      <c r="Q14" s="967"/>
      <c r="R14" s="967"/>
      <c r="S14" s="967"/>
      <c r="T14" s="967"/>
      <c r="U14" s="967"/>
      <c r="V14" s="967"/>
      <c r="W14" s="967"/>
      <c r="X14" s="967"/>
      <c r="Y14" s="967"/>
      <c r="Z14" s="967"/>
      <c r="AA14" s="967"/>
      <c r="AB14" s="967"/>
      <c r="AC14" s="967"/>
      <c r="AD14" s="967"/>
      <c r="AE14" s="967"/>
      <c r="AF14" s="967"/>
      <c r="AG14" s="967"/>
      <c r="AH14" s="967"/>
      <c r="AI14" s="967"/>
      <c r="AJ14" s="967"/>
      <c r="AK14" s="967"/>
      <c r="AL14" s="967"/>
      <c r="AM14" s="967"/>
      <c r="AN14" s="967"/>
      <c r="AO14" s="967"/>
      <c r="AP14" s="967"/>
      <c r="AQ14" s="967"/>
      <c r="AR14" s="967"/>
      <c r="AS14" s="967"/>
      <c r="AT14" s="967"/>
      <c r="AU14" s="967"/>
      <c r="AV14" s="967"/>
      <c r="AW14" s="967"/>
      <c r="AX14" s="967"/>
      <c r="AY14" s="967"/>
      <c r="AZ14" s="967"/>
      <c r="BA14" s="967"/>
      <c r="BB14" s="967"/>
      <c r="BC14" s="967"/>
      <c r="BD14" s="967"/>
      <c r="BE14" s="967"/>
      <c r="BF14" s="967"/>
      <c r="BG14" s="967"/>
      <c r="BH14" s="968"/>
      <c r="BI14" s="969"/>
      <c r="BJ14" s="969"/>
      <c r="BK14" s="969"/>
      <c r="BL14" s="969"/>
      <c r="BM14" s="969"/>
      <c r="BN14" s="969"/>
      <c r="BO14" s="969"/>
      <c r="BP14" s="967"/>
      <c r="BQ14" s="967"/>
      <c r="BR14" s="969"/>
      <c r="BS14" s="456"/>
    </row>
    <row r="15" spans="1:71" s="673" customFormat="1" ht="15">
      <c r="A15" s="127" t="s">
        <v>21</v>
      </c>
      <c r="B15" s="480"/>
      <c r="C15" s="1131"/>
      <c r="D15" s="1131"/>
      <c r="E15" s="1132">
        <v>2273</v>
      </c>
      <c r="F15" s="1132">
        <v>2271</v>
      </c>
      <c r="G15" s="1132">
        <v>2392</v>
      </c>
      <c r="H15" s="1037">
        <v>376</v>
      </c>
      <c r="I15" s="1037">
        <v>489</v>
      </c>
      <c r="J15" s="1037">
        <v>995</v>
      </c>
      <c r="K15" s="1037">
        <v>482</v>
      </c>
      <c r="L15" s="1132">
        <v>2342</v>
      </c>
      <c r="M15" s="1037">
        <v>376</v>
      </c>
      <c r="N15" s="1037">
        <v>500</v>
      </c>
      <c r="O15" s="1037">
        <v>1064</v>
      </c>
      <c r="P15" s="1037">
        <v>515</v>
      </c>
      <c r="Q15" s="1132">
        <v>2455</v>
      </c>
      <c r="R15" s="1037">
        <v>398</v>
      </c>
      <c r="S15" s="1037">
        <v>538</v>
      </c>
      <c r="T15" s="1037">
        <v>991</v>
      </c>
      <c r="U15" s="1037">
        <v>577</v>
      </c>
      <c r="V15" s="1132">
        <v>2504</v>
      </c>
      <c r="W15" s="1037">
        <v>416</v>
      </c>
      <c r="X15" s="1037">
        <v>573</v>
      </c>
      <c r="Y15" s="1037">
        <v>1073</v>
      </c>
      <c r="Z15" s="1037">
        <v>626</v>
      </c>
      <c r="AA15" s="1132">
        <v>2688</v>
      </c>
      <c r="AB15" s="1037">
        <v>426</v>
      </c>
      <c r="AC15" s="1037">
        <v>615</v>
      </c>
      <c r="AD15" s="1037">
        <v>953</v>
      </c>
      <c r="AE15" s="1037">
        <v>651</v>
      </c>
      <c r="AF15" s="1132">
        <v>2645</v>
      </c>
      <c r="AG15" s="1037">
        <v>439</v>
      </c>
      <c r="AH15" s="1037">
        <v>579</v>
      </c>
      <c r="AI15" s="1037">
        <v>1113</v>
      </c>
      <c r="AJ15" s="1037">
        <v>628</v>
      </c>
      <c r="AK15" s="1132">
        <v>2759</v>
      </c>
      <c r="AL15" s="1037">
        <v>494</v>
      </c>
      <c r="AM15" s="1037">
        <v>611</v>
      </c>
      <c r="AN15" s="1037">
        <v>1061</v>
      </c>
      <c r="AO15" s="288">
        <f>AP15-SUM(AL15,AM15,AN15)</f>
        <v>647</v>
      </c>
      <c r="AP15" s="1132">
        <v>2813</v>
      </c>
      <c r="AQ15" s="1037">
        <v>520</v>
      </c>
      <c r="AR15" s="1037">
        <v>851</v>
      </c>
      <c r="AS15" s="1037">
        <v>1334</v>
      </c>
      <c r="AT15" s="288">
        <f>AU15-SUM(AQ15,AR15,AS15)</f>
        <v>558</v>
      </c>
      <c r="AU15" s="1132">
        <v>3263</v>
      </c>
      <c r="AV15" s="1037">
        <v>760</v>
      </c>
      <c r="AW15" s="1037">
        <v>962</v>
      </c>
      <c r="AX15" s="1037">
        <v>1737</v>
      </c>
      <c r="AY15" s="288">
        <f>AZ15-SUM(AV15,AW15,AX15)</f>
        <v>601</v>
      </c>
      <c r="AZ15" s="1132">
        <v>4060</v>
      </c>
      <c r="BA15" s="1037">
        <v>872</v>
      </c>
      <c r="BB15" s="1037">
        <v>1059</v>
      </c>
      <c r="BC15" s="1037">
        <v>1592</v>
      </c>
      <c r="BD15" s="288">
        <f>BE15-SUM(BA15,BB15,BC15)</f>
        <v>623</v>
      </c>
      <c r="BE15" s="1132">
        <v>4146</v>
      </c>
      <c r="BF15" s="1037">
        <v>959</v>
      </c>
      <c r="BG15" s="1037">
        <v>1084</v>
      </c>
      <c r="BH15" s="1038">
        <v>2107</v>
      </c>
      <c r="BI15" s="171">
        <f t="shared" si="29" ref="BI15:BI17">BD15*(1+BI7)</f>
        <v>809.90</v>
      </c>
      <c r="BJ15" s="1133">
        <f>SUM(BF15,BG15,BH15,BI15)</f>
        <v>4959.8999999999996</v>
      </c>
      <c r="BK15" s="171">
        <f t="shared" si="30" ref="BK15:BN17">BF15*(1+BK7)</f>
        <v>911.05</v>
      </c>
      <c r="BL15" s="171">
        <f t="shared" si="30"/>
        <v>1192.4000000000001</v>
      </c>
      <c r="BM15" s="171">
        <f t="shared" si="30"/>
        <v>2212.35</v>
      </c>
      <c r="BN15" s="171">
        <f t="shared" si="30"/>
        <v>915.1869999999999</v>
      </c>
      <c r="BO15" s="1133">
        <f>SUM(BK15,BL15,BM15,BN15)</f>
        <v>5230.9869999999992</v>
      </c>
      <c r="BP15" s="1131">
        <f t="shared" si="31" ref="BP15:BR17">BO15*(1+BP7)</f>
        <v>5335.6067399999993</v>
      </c>
      <c r="BQ15" s="1131">
        <f t="shared" si="31"/>
        <v>5442.3188747999993</v>
      </c>
      <c r="BR15" s="1133">
        <f t="shared" si="31"/>
        <v>5551.1652522959994</v>
      </c>
      <c r="BS15" s="32"/>
    </row>
    <row r="16" spans="1:71" s="673" customFormat="1" ht="15">
      <c r="A16" s="127" t="s">
        <v>22</v>
      </c>
      <c r="B16" s="480"/>
      <c r="C16" s="1131"/>
      <c r="D16" s="1131"/>
      <c r="E16" s="1132">
        <v>1302</v>
      </c>
      <c r="F16" s="1132">
        <v>1484</v>
      </c>
      <c r="G16" s="1132">
        <v>1790</v>
      </c>
      <c r="H16" s="1037">
        <v>507</v>
      </c>
      <c r="I16" s="1037">
        <v>655</v>
      </c>
      <c r="J16" s="1037">
        <v>707</v>
      </c>
      <c r="K16" s="1037">
        <v>660</v>
      </c>
      <c r="L16" s="1132">
        <v>2529</v>
      </c>
      <c r="M16" s="1037">
        <v>683</v>
      </c>
      <c r="N16" s="1037">
        <v>661</v>
      </c>
      <c r="O16" s="1037">
        <v>734</v>
      </c>
      <c r="P16" s="1037">
        <v>661</v>
      </c>
      <c r="Q16" s="1132">
        <v>2739</v>
      </c>
      <c r="R16" s="1037">
        <v>698</v>
      </c>
      <c r="S16" s="1037">
        <v>688</v>
      </c>
      <c r="T16" s="1037">
        <v>722</v>
      </c>
      <c r="U16" s="1037">
        <v>684</v>
      </c>
      <c r="V16" s="1132">
        <v>2792</v>
      </c>
      <c r="W16" s="1037">
        <v>744</v>
      </c>
      <c r="X16" s="1037">
        <v>756</v>
      </c>
      <c r="Y16" s="1037">
        <v>850</v>
      </c>
      <c r="Z16" s="1037">
        <v>737</v>
      </c>
      <c r="AA16" s="1132">
        <v>3087</v>
      </c>
      <c r="AB16" s="1037">
        <v>853</v>
      </c>
      <c r="AC16" s="1037">
        <v>858</v>
      </c>
      <c r="AD16" s="1037">
        <v>956</v>
      </c>
      <c r="AE16" s="1037">
        <v>778</v>
      </c>
      <c r="AF16" s="1132">
        <v>3445</v>
      </c>
      <c r="AG16" s="1037">
        <v>912</v>
      </c>
      <c r="AH16" s="1037">
        <v>896</v>
      </c>
      <c r="AI16" s="1037">
        <v>1031</v>
      </c>
      <c r="AJ16" s="1037">
        <v>929</v>
      </c>
      <c r="AK16" s="1132">
        <v>3768</v>
      </c>
      <c r="AL16" s="1037">
        <v>849</v>
      </c>
      <c r="AM16" s="1037">
        <v>752</v>
      </c>
      <c r="AN16" s="1037">
        <v>978</v>
      </c>
      <c r="AO16" s="288">
        <f>AP16-SUM(AL16,AM16,AN16)</f>
        <v>865</v>
      </c>
      <c r="AP16" s="1132">
        <v>3444</v>
      </c>
      <c r="AQ16" s="1037">
        <v>904</v>
      </c>
      <c r="AR16" s="1037">
        <v>897</v>
      </c>
      <c r="AS16" s="1037">
        <v>1121</v>
      </c>
      <c r="AT16" s="288">
        <f>AU16-SUM(AQ16,AR16,AS16)</f>
        <v>968</v>
      </c>
      <c r="AU16" s="1132">
        <v>3890</v>
      </c>
      <c r="AV16" s="1037">
        <v>976</v>
      </c>
      <c r="AW16" s="1037">
        <v>948</v>
      </c>
      <c r="AX16" s="1037">
        <v>1184</v>
      </c>
      <c r="AY16" s="288">
        <f>AZ16-SUM(AV16,AW16,AX16)</f>
        <v>1007</v>
      </c>
      <c r="AZ16" s="1132">
        <v>4115</v>
      </c>
      <c r="BA16" s="1037">
        <v>1061</v>
      </c>
      <c r="BB16" s="1037">
        <v>1012</v>
      </c>
      <c r="BC16" s="1037">
        <v>1226</v>
      </c>
      <c r="BD16" s="288">
        <f>BE16-SUM(BA16,BB16,BC16)</f>
        <v>1069</v>
      </c>
      <c r="BE16" s="1132">
        <v>4368</v>
      </c>
      <c r="BF16" s="1037">
        <v>1097</v>
      </c>
      <c r="BG16" s="1037">
        <v>1023</v>
      </c>
      <c r="BH16" s="1038">
        <v>1297</v>
      </c>
      <c r="BI16" s="171">
        <f t="shared" si="29"/>
        <v>1207.9699999999998</v>
      </c>
      <c r="BJ16" s="1133">
        <f>SUM(BF16,BG16,BH16,BI16)</f>
        <v>4624.9699999999993</v>
      </c>
      <c r="BK16" s="171">
        <f t="shared" si="30"/>
        <v>1118.9400000000001</v>
      </c>
      <c r="BL16" s="171">
        <f t="shared" si="30"/>
        <v>1125.3000000000002</v>
      </c>
      <c r="BM16" s="171">
        <f t="shared" si="30"/>
        <v>1361.85</v>
      </c>
      <c r="BN16" s="171">
        <f t="shared" si="30"/>
        <v>1365.0060999999996</v>
      </c>
      <c r="BO16" s="1133">
        <f>SUM(BK16,BL16,BM16,BN16)</f>
        <v>4971.0960999999998</v>
      </c>
      <c r="BP16" s="1131">
        <f t="shared" si="31"/>
        <v>5219.6509049999995</v>
      </c>
      <c r="BQ16" s="1131">
        <f t="shared" si="31"/>
        <v>5637.2229773999998</v>
      </c>
      <c r="BR16" s="1133">
        <f t="shared" si="31"/>
        <v>6088.2008155920003</v>
      </c>
      <c r="BS16" s="32"/>
    </row>
    <row r="17" spans="1:71" s="673" customFormat="1" ht="15">
      <c r="A17" s="127" t="s">
        <v>23</v>
      </c>
      <c r="B17" s="480"/>
      <c r="C17" s="1131"/>
      <c r="D17" s="1131"/>
      <c r="E17" s="1132">
        <v>529</v>
      </c>
      <c r="F17" s="1132">
        <v>566</v>
      </c>
      <c r="G17" s="1132">
        <v>622</v>
      </c>
      <c r="H17" s="1037">
        <v>141</v>
      </c>
      <c r="I17" s="1037">
        <v>147</v>
      </c>
      <c r="J17" s="1037">
        <v>157</v>
      </c>
      <c r="K17" s="1037">
        <v>160</v>
      </c>
      <c r="L17" s="1132">
        <v>605</v>
      </c>
      <c r="M17" s="1037">
        <v>137</v>
      </c>
      <c r="N17" s="1037">
        <v>157</v>
      </c>
      <c r="O17" s="1037">
        <v>164</v>
      </c>
      <c r="P17" s="1037">
        <v>179</v>
      </c>
      <c r="Q17" s="1132">
        <v>637</v>
      </c>
      <c r="R17" s="1037">
        <v>147</v>
      </c>
      <c r="S17" s="1037">
        <v>172</v>
      </c>
      <c r="T17" s="1037">
        <v>186</v>
      </c>
      <c r="U17" s="1037">
        <v>180</v>
      </c>
      <c r="V17" s="1132">
        <v>685</v>
      </c>
      <c r="W17" s="1037">
        <v>164</v>
      </c>
      <c r="X17" s="1037">
        <v>174</v>
      </c>
      <c r="Y17" s="1037">
        <v>181</v>
      </c>
      <c r="Z17" s="1037">
        <v>208</v>
      </c>
      <c r="AA17" s="1132">
        <v>727</v>
      </c>
      <c r="AB17" s="1037">
        <v>179</v>
      </c>
      <c r="AC17" s="1037">
        <v>192</v>
      </c>
      <c r="AD17" s="1037">
        <v>195</v>
      </c>
      <c r="AE17" s="1037">
        <v>184</v>
      </c>
      <c r="AF17" s="1132">
        <v>750</v>
      </c>
      <c r="AG17" s="1037">
        <v>184</v>
      </c>
      <c r="AH17" s="1037">
        <v>189</v>
      </c>
      <c r="AI17" s="1037">
        <v>207</v>
      </c>
      <c r="AJ17" s="1037">
        <v>192</v>
      </c>
      <c r="AK17" s="1132">
        <v>772</v>
      </c>
      <c r="AL17" s="1037">
        <v>183</v>
      </c>
      <c r="AM17" s="1037">
        <v>176</v>
      </c>
      <c r="AN17" s="1037">
        <v>184</v>
      </c>
      <c r="AO17" s="288">
        <f>AP17-SUM(AL17,AM17,AN17)</f>
        <v>195</v>
      </c>
      <c r="AP17" s="1132">
        <v>738</v>
      </c>
      <c r="AQ17" s="1037">
        <v>192</v>
      </c>
      <c r="AR17" s="1037">
        <v>189</v>
      </c>
      <c r="AS17" s="1037">
        <v>201</v>
      </c>
      <c r="AT17" s="288">
        <f>AU17-SUM(AQ17,AR17,AS17)</f>
        <v>211</v>
      </c>
      <c r="AU17" s="1132">
        <v>793</v>
      </c>
      <c r="AV17" s="1037">
        <v>200</v>
      </c>
      <c r="AW17" s="1037">
        <v>213</v>
      </c>
      <c r="AX17" s="1037">
        <v>232</v>
      </c>
      <c r="AY17" s="288">
        <f>AZ17-SUM(AV17,AW17,AX17)</f>
        <v>237</v>
      </c>
      <c r="AZ17" s="1132">
        <v>882</v>
      </c>
      <c r="BA17" s="1037">
        <v>222</v>
      </c>
      <c r="BB17" s="1037">
        <v>298</v>
      </c>
      <c r="BC17" s="1037">
        <v>322</v>
      </c>
      <c r="BD17" s="288">
        <f>BE17-SUM(BA17,BB17,BC17)</f>
        <v>300</v>
      </c>
      <c r="BE17" s="1132">
        <v>1142</v>
      </c>
      <c r="BF17" s="1037">
        <v>280</v>
      </c>
      <c r="BG17" s="1037">
        <v>299</v>
      </c>
      <c r="BH17" s="1038">
        <v>344</v>
      </c>
      <c r="BI17" s="171">
        <f t="shared" si="29"/>
        <v>336.00000000000006</v>
      </c>
      <c r="BJ17" s="1133">
        <f>SUM(BF17,BG17,BH17,BI17)</f>
        <v>1259</v>
      </c>
      <c r="BK17" s="171">
        <f t="shared" si="30"/>
        <v>285.60000000000002</v>
      </c>
      <c r="BL17" s="171">
        <f t="shared" si="30"/>
        <v>328.90</v>
      </c>
      <c r="BM17" s="171">
        <f t="shared" si="30"/>
        <v>361.20</v>
      </c>
      <c r="BN17" s="171">
        <f t="shared" si="30"/>
        <v>376.32000000000011</v>
      </c>
      <c r="BO17" s="1133">
        <f>SUM(BK17,BL17,BM17,BN17)</f>
        <v>1352.0200000000002</v>
      </c>
      <c r="BP17" s="1131">
        <f t="shared" si="31"/>
        <v>1419.6210000000003</v>
      </c>
      <c r="BQ17" s="1131">
        <f t="shared" si="31"/>
        <v>1518.9944700000003</v>
      </c>
      <c r="BR17" s="1133">
        <f t="shared" si="31"/>
        <v>1625.3240829000003</v>
      </c>
      <c r="BS17" s="32"/>
    </row>
    <row r="18" spans="1:71" s="673" customFormat="1" ht="15">
      <c r="A18" s="135" t="s">
        <v>24</v>
      </c>
      <c r="B18" s="481"/>
      <c r="C18" s="1134"/>
      <c r="D18" s="1134"/>
      <c r="E18" s="1135">
        <v>2</v>
      </c>
      <c r="F18" s="1135">
        <v>0</v>
      </c>
      <c r="G18" s="1135">
        <v>1</v>
      </c>
      <c r="H18" s="1040">
        <v>0</v>
      </c>
      <c r="I18" s="1040">
        <v>0</v>
      </c>
      <c r="J18" s="1040">
        <v>0</v>
      </c>
      <c r="K18" s="1040">
        <v>1</v>
      </c>
      <c r="L18" s="1135">
        <v>1</v>
      </c>
      <c r="M18" s="1040">
        <v>0</v>
      </c>
      <c r="N18" s="1040">
        <v>0</v>
      </c>
      <c r="O18" s="1040">
        <v>0</v>
      </c>
      <c r="P18" s="1040">
        <v>1</v>
      </c>
      <c r="Q18" s="1135">
        <v>1</v>
      </c>
      <c r="R18" s="1040">
        <v>0</v>
      </c>
      <c r="S18" s="1040">
        <v>0</v>
      </c>
      <c r="T18" s="1040">
        <v>0</v>
      </c>
      <c r="U18" s="1040">
        <v>0</v>
      </c>
      <c r="V18" s="1135">
        <v>0</v>
      </c>
      <c r="W18" s="1040">
        <v>0</v>
      </c>
      <c r="X18" s="363"/>
      <c r="Y18" s="1040">
        <v>0</v>
      </c>
      <c r="Z18" s="363"/>
      <c r="AA18" s="1134"/>
      <c r="AB18" s="1040">
        <v>0</v>
      </c>
      <c r="AC18" s="363"/>
      <c r="AD18" s="363"/>
      <c r="AE18" s="363"/>
      <c r="AF18" s="1134"/>
      <c r="AG18" s="363"/>
      <c r="AH18" s="363"/>
      <c r="AI18" s="363"/>
      <c r="AJ18" s="363"/>
      <c r="AK18" s="1134"/>
      <c r="AL18" s="1040">
        <v>56</v>
      </c>
      <c r="AM18" s="1040">
        <v>14</v>
      </c>
      <c r="AN18" s="1040">
        <v>8</v>
      </c>
      <c r="AO18" s="39">
        <f>AP18-SUM(AL18,AM18,AN18)</f>
        <v>14</v>
      </c>
      <c r="AP18" s="1135">
        <v>92</v>
      </c>
      <c r="AQ18" s="1040">
        <v>0</v>
      </c>
      <c r="AR18" s="1040">
        <v>0</v>
      </c>
      <c r="AS18" s="1040">
        <v>0</v>
      </c>
      <c r="AT18" s="39">
        <f>AU18-SUM(AQ18,AR18,AS18)</f>
        <v>0</v>
      </c>
      <c r="AU18" s="1135">
        <v>0</v>
      </c>
      <c r="AV18" s="1040">
        <v>0</v>
      </c>
      <c r="AW18" s="1040">
        <v>0</v>
      </c>
      <c r="AX18" s="1040">
        <v>0</v>
      </c>
      <c r="AY18" s="39">
        <f>AZ18-SUM(AV18,AW18,AX18)</f>
        <v>0</v>
      </c>
      <c r="AZ18" s="1135">
        <v>0</v>
      </c>
      <c r="BA18" s="1040">
        <v>0</v>
      </c>
      <c r="BB18" s="363"/>
      <c r="BC18" s="363"/>
      <c r="BD18" s="39">
        <f>BE18-SUM(BA18,BB18,BC18)</f>
        <v>0</v>
      </c>
      <c r="BE18" s="1134"/>
      <c r="BF18" s="363"/>
      <c r="BG18" s="363"/>
      <c r="BH18" s="773"/>
      <c r="BI18" s="1040">
        <v>0</v>
      </c>
      <c r="BJ18" s="1134">
        <f>SUM(BF18,BG18,BH18,BI18)</f>
        <v>0</v>
      </c>
      <c r="BK18" s="1040">
        <v>0</v>
      </c>
      <c r="BL18" s="1040">
        <v>0</v>
      </c>
      <c r="BM18" s="1040">
        <v>0</v>
      </c>
      <c r="BN18" s="1040">
        <v>0</v>
      </c>
      <c r="BO18" s="1134">
        <f>SUM(BK18,BL18,BM18,BN18)</f>
        <v>0</v>
      </c>
      <c r="BP18" s="1135">
        <v>0</v>
      </c>
      <c r="BQ18" s="1135">
        <v>0</v>
      </c>
      <c r="BR18" s="1135">
        <v>0</v>
      </c>
      <c r="BS18" s="32"/>
    </row>
    <row r="19" spans="1:71" s="673" customFormat="1" ht="15">
      <c r="A19" s="355" t="s">
        <v>25</v>
      </c>
      <c r="B19" s="482"/>
      <c r="C19" s="1136">
        <f t="shared" si="32" ref="C19:AK19">SUM(C15:C18)</f>
        <v>0</v>
      </c>
      <c r="D19" s="1136">
        <f t="shared" si="32"/>
        <v>0</v>
      </c>
      <c r="E19" s="1136">
        <f t="shared" si="32"/>
        <v>4106</v>
      </c>
      <c r="F19" s="1136">
        <f t="shared" si="32"/>
        <v>4321</v>
      </c>
      <c r="G19" s="1136">
        <f t="shared" si="32"/>
        <v>4805</v>
      </c>
      <c r="H19" s="356">
        <f t="shared" si="32"/>
        <v>1024</v>
      </c>
      <c r="I19" s="356">
        <f t="shared" si="32"/>
        <v>1291</v>
      </c>
      <c r="J19" s="356">
        <f t="shared" si="32"/>
        <v>1859</v>
      </c>
      <c r="K19" s="356">
        <f t="shared" si="32"/>
        <v>1303</v>
      </c>
      <c r="L19" s="1136">
        <f t="shared" si="32"/>
        <v>5477</v>
      </c>
      <c r="M19" s="356">
        <f t="shared" si="32"/>
        <v>1196</v>
      </c>
      <c r="N19" s="356">
        <f t="shared" si="32"/>
        <v>1318</v>
      </c>
      <c r="O19" s="356">
        <f t="shared" si="32"/>
        <v>1962</v>
      </c>
      <c r="P19" s="356">
        <f t="shared" si="32"/>
        <v>1356</v>
      </c>
      <c r="Q19" s="1136">
        <f t="shared" si="32"/>
        <v>5832</v>
      </c>
      <c r="R19" s="356">
        <f t="shared" si="32"/>
        <v>1243</v>
      </c>
      <c r="S19" s="356">
        <f t="shared" si="32"/>
        <v>1398</v>
      </c>
      <c r="T19" s="356">
        <f t="shared" si="32"/>
        <v>1899</v>
      </c>
      <c r="U19" s="356">
        <f t="shared" si="32"/>
        <v>1441</v>
      </c>
      <c r="V19" s="1136">
        <f t="shared" si="32"/>
        <v>5981</v>
      </c>
      <c r="W19" s="356">
        <f t="shared" si="32"/>
        <v>1324</v>
      </c>
      <c r="X19" s="356">
        <f t="shared" si="32"/>
        <v>1503</v>
      </c>
      <c r="Y19" s="356">
        <f t="shared" si="32"/>
        <v>2104</v>
      </c>
      <c r="Z19" s="356">
        <f t="shared" si="32"/>
        <v>1571</v>
      </c>
      <c r="AA19" s="1136">
        <f t="shared" si="32"/>
        <v>6502</v>
      </c>
      <c r="AB19" s="356">
        <f t="shared" si="32"/>
        <v>1458</v>
      </c>
      <c r="AC19" s="356">
        <f t="shared" si="32"/>
        <v>1665</v>
      </c>
      <c r="AD19" s="356">
        <f t="shared" si="32"/>
        <v>2104</v>
      </c>
      <c r="AE19" s="356">
        <f t="shared" si="32"/>
        <v>1613</v>
      </c>
      <c r="AF19" s="1136">
        <f t="shared" si="32"/>
        <v>6840</v>
      </c>
      <c r="AG19" s="356">
        <f t="shared" si="32"/>
        <v>1535</v>
      </c>
      <c r="AH19" s="356">
        <f t="shared" si="32"/>
        <v>1664</v>
      </c>
      <c r="AI19" s="356">
        <f t="shared" si="32"/>
        <v>2351</v>
      </c>
      <c r="AJ19" s="356">
        <f t="shared" si="32"/>
        <v>1749</v>
      </c>
      <c r="AK19" s="1136">
        <f t="shared" si="32"/>
        <v>7299</v>
      </c>
      <c r="AL19" s="356">
        <f t="shared" si="33" ref="AL19:AQ19">SUM(AL15:AL18)</f>
        <v>1582</v>
      </c>
      <c r="AM19" s="356">
        <f t="shared" si="33"/>
        <v>1553</v>
      </c>
      <c r="AN19" s="356">
        <f t="shared" si="33"/>
        <v>2231</v>
      </c>
      <c r="AO19" s="356">
        <f t="shared" si="33"/>
        <v>1721</v>
      </c>
      <c r="AP19" s="1136">
        <f t="shared" si="33"/>
        <v>7087</v>
      </c>
      <c r="AQ19" s="356">
        <f t="shared" si="33"/>
        <v>1616</v>
      </c>
      <c r="AR19" s="356">
        <f t="shared" si="34" ref="AR19:AW19">SUM(AR15:AR18)</f>
        <v>1937</v>
      </c>
      <c r="AS19" s="356">
        <f t="shared" si="34"/>
        <v>2656</v>
      </c>
      <c r="AT19" s="356">
        <f t="shared" si="34"/>
        <v>1737</v>
      </c>
      <c r="AU19" s="1136">
        <f t="shared" si="34"/>
        <v>7946</v>
      </c>
      <c r="AV19" s="356">
        <f t="shared" si="34"/>
        <v>1936</v>
      </c>
      <c r="AW19" s="356">
        <f t="shared" si="34"/>
        <v>2123</v>
      </c>
      <c r="AX19" s="356">
        <f t="shared" si="35" ref="AX19:BJ19">SUM(AX15:AX18)</f>
        <v>3153</v>
      </c>
      <c r="AY19" s="356">
        <f t="shared" si="35"/>
        <v>1845</v>
      </c>
      <c r="AZ19" s="1136">
        <f t="shared" si="35"/>
        <v>9057</v>
      </c>
      <c r="BA19" s="356">
        <f t="shared" si="36" ref="BA19:BI19">SUM(BA15:BA18)</f>
        <v>2155</v>
      </c>
      <c r="BB19" s="356">
        <f t="shared" si="36"/>
        <v>2369</v>
      </c>
      <c r="BC19" s="356">
        <f t="shared" si="36"/>
        <v>3140</v>
      </c>
      <c r="BD19" s="356">
        <f t="shared" si="36"/>
        <v>1992</v>
      </c>
      <c r="BE19" s="1136">
        <f t="shared" si="36"/>
        <v>9656</v>
      </c>
      <c r="BF19" s="356">
        <f>SUM(BF15:BF18)</f>
        <v>2336</v>
      </c>
      <c r="BG19" s="356">
        <f>SUM(BG15:BG18)</f>
        <v>2406</v>
      </c>
      <c r="BH19" s="873">
        <f>SUM(BH15:BH18)</f>
        <v>3748</v>
      </c>
      <c r="BI19" s="513">
        <f t="shared" si="36"/>
        <v>2353.87</v>
      </c>
      <c r="BJ19" s="1137">
        <f t="shared" si="35"/>
        <v>10843.869999999999</v>
      </c>
      <c r="BK19" s="513">
        <f t="shared" si="37" ref="BK19:BR19">SUM(BK15:BK18)</f>
        <v>2315.59</v>
      </c>
      <c r="BL19" s="513">
        <f t="shared" si="37"/>
        <v>2646.6000000000004</v>
      </c>
      <c r="BM19" s="513">
        <f t="shared" si="37"/>
        <v>3935.3999999999996</v>
      </c>
      <c r="BN19" s="513">
        <f t="shared" si="37"/>
        <v>2656.5130999999997</v>
      </c>
      <c r="BO19" s="1137">
        <f t="shared" si="37"/>
        <v>11554.1031</v>
      </c>
      <c r="BP19" s="1137">
        <f t="shared" si="37"/>
        <v>11974.878644999999</v>
      </c>
      <c r="BQ19" s="1137">
        <f t="shared" si="37"/>
        <v>12598.5363222</v>
      </c>
      <c r="BR19" s="1137">
        <f t="shared" si="37"/>
        <v>13264.690150788001</v>
      </c>
      <c r="BS19" s="32"/>
    </row>
    <row r="20" spans="1:71" s="674" customFormat="1" ht="15">
      <c r="A20" s="94" t="s">
        <v>26</v>
      </c>
      <c r="B20" s="483"/>
      <c r="C20" s="1138">
        <f t="shared" si="38" ref="C20:AK20">C19</f>
        <v>0</v>
      </c>
      <c r="D20" s="1138">
        <f t="shared" si="38"/>
        <v>0</v>
      </c>
      <c r="E20" s="1138">
        <f t="shared" si="38"/>
        <v>4106</v>
      </c>
      <c r="F20" s="1138">
        <f t="shared" si="38"/>
        <v>4321</v>
      </c>
      <c r="G20" s="1138">
        <f t="shared" si="38"/>
        <v>4805</v>
      </c>
      <c r="H20" s="96">
        <f t="shared" si="38"/>
        <v>1024</v>
      </c>
      <c r="I20" s="96">
        <f t="shared" si="38"/>
        <v>1291</v>
      </c>
      <c r="J20" s="96">
        <f t="shared" si="38"/>
        <v>1859</v>
      </c>
      <c r="K20" s="96">
        <f t="shared" si="38"/>
        <v>1303</v>
      </c>
      <c r="L20" s="1138">
        <f t="shared" si="38"/>
        <v>5477</v>
      </c>
      <c r="M20" s="96">
        <f t="shared" si="38"/>
        <v>1196</v>
      </c>
      <c r="N20" s="96">
        <f t="shared" si="38"/>
        <v>1318</v>
      </c>
      <c r="O20" s="96">
        <f t="shared" si="38"/>
        <v>1962</v>
      </c>
      <c r="P20" s="96">
        <f t="shared" si="38"/>
        <v>1356</v>
      </c>
      <c r="Q20" s="1138">
        <f t="shared" si="38"/>
        <v>5832</v>
      </c>
      <c r="R20" s="96">
        <f t="shared" si="38"/>
        <v>1243</v>
      </c>
      <c r="S20" s="96">
        <f t="shared" si="38"/>
        <v>1398</v>
      </c>
      <c r="T20" s="96">
        <f t="shared" si="38"/>
        <v>1899</v>
      </c>
      <c r="U20" s="96">
        <f t="shared" si="38"/>
        <v>1441</v>
      </c>
      <c r="V20" s="1138">
        <f t="shared" si="38"/>
        <v>5981</v>
      </c>
      <c r="W20" s="96">
        <f t="shared" si="38"/>
        <v>1324</v>
      </c>
      <c r="X20" s="96">
        <f t="shared" si="38"/>
        <v>1503</v>
      </c>
      <c r="Y20" s="96">
        <f t="shared" si="38"/>
        <v>2104</v>
      </c>
      <c r="Z20" s="96">
        <f t="shared" si="38"/>
        <v>1571</v>
      </c>
      <c r="AA20" s="1138">
        <f t="shared" si="38"/>
        <v>6502</v>
      </c>
      <c r="AB20" s="96">
        <f t="shared" si="38"/>
        <v>1458</v>
      </c>
      <c r="AC20" s="96">
        <f t="shared" si="38"/>
        <v>1665</v>
      </c>
      <c r="AD20" s="96">
        <f t="shared" si="38"/>
        <v>2104</v>
      </c>
      <c r="AE20" s="96">
        <f t="shared" si="38"/>
        <v>1613</v>
      </c>
      <c r="AF20" s="1138">
        <f t="shared" si="38"/>
        <v>6840</v>
      </c>
      <c r="AG20" s="96">
        <f t="shared" si="38"/>
        <v>1535</v>
      </c>
      <c r="AH20" s="96">
        <f t="shared" si="38"/>
        <v>1664</v>
      </c>
      <c r="AI20" s="96">
        <f t="shared" si="38"/>
        <v>2351</v>
      </c>
      <c r="AJ20" s="96">
        <f t="shared" si="38"/>
        <v>1749</v>
      </c>
      <c r="AK20" s="1138">
        <f t="shared" si="38"/>
        <v>7299</v>
      </c>
      <c r="AL20" s="96">
        <f t="shared" si="39" ref="AL20:AQ20">AL19</f>
        <v>1582</v>
      </c>
      <c r="AM20" s="96">
        <f t="shared" si="39"/>
        <v>1553</v>
      </c>
      <c r="AN20" s="96">
        <f t="shared" si="39"/>
        <v>2231</v>
      </c>
      <c r="AO20" s="96">
        <f t="shared" si="39"/>
        <v>1721</v>
      </c>
      <c r="AP20" s="1138">
        <f t="shared" si="39"/>
        <v>7087</v>
      </c>
      <c r="AQ20" s="96">
        <f t="shared" si="39"/>
        <v>1616</v>
      </c>
      <c r="AR20" s="96">
        <f t="shared" si="40" ref="AR20:AW20">AR19</f>
        <v>1937</v>
      </c>
      <c r="AS20" s="96">
        <f t="shared" si="40"/>
        <v>2656</v>
      </c>
      <c r="AT20" s="96">
        <f t="shared" si="40"/>
        <v>1737</v>
      </c>
      <c r="AU20" s="1138">
        <f t="shared" si="40"/>
        <v>7946</v>
      </c>
      <c r="AV20" s="96">
        <f t="shared" si="40"/>
        <v>1936</v>
      </c>
      <c r="AW20" s="96">
        <f t="shared" si="40"/>
        <v>2123</v>
      </c>
      <c r="AX20" s="96">
        <f t="shared" si="41" ref="AX20:BJ20">AX19</f>
        <v>3153</v>
      </c>
      <c r="AY20" s="96">
        <f t="shared" si="41"/>
        <v>1845</v>
      </c>
      <c r="AZ20" s="1138">
        <f t="shared" si="41"/>
        <v>9057</v>
      </c>
      <c r="BA20" s="96">
        <f t="shared" si="42" ref="BA20:BI20">BA19</f>
        <v>2155</v>
      </c>
      <c r="BB20" s="96">
        <f t="shared" si="42"/>
        <v>2369</v>
      </c>
      <c r="BC20" s="96">
        <f t="shared" si="42"/>
        <v>3140</v>
      </c>
      <c r="BD20" s="96">
        <f t="shared" si="42"/>
        <v>1992</v>
      </c>
      <c r="BE20" s="1138">
        <f t="shared" si="42"/>
        <v>9656</v>
      </c>
      <c r="BF20" s="96">
        <f>BF19</f>
        <v>2336</v>
      </c>
      <c r="BG20" s="96">
        <f>BG19</f>
        <v>2406</v>
      </c>
      <c r="BH20" s="874">
        <f>BH19</f>
        <v>3748</v>
      </c>
      <c r="BI20" s="596">
        <f t="shared" si="42"/>
        <v>2353.87</v>
      </c>
      <c r="BJ20" s="1139">
        <f t="shared" si="41"/>
        <v>10843.869999999999</v>
      </c>
      <c r="BK20" s="596">
        <f t="shared" si="43" ref="BK20:BR20">BK19</f>
        <v>2315.59</v>
      </c>
      <c r="BL20" s="596">
        <f t="shared" si="43"/>
        <v>2646.6000000000004</v>
      </c>
      <c r="BM20" s="596">
        <f t="shared" si="43"/>
        <v>3935.3999999999996</v>
      </c>
      <c r="BN20" s="596">
        <f t="shared" si="43"/>
        <v>2656.5130999999997</v>
      </c>
      <c r="BO20" s="1139">
        <f t="shared" si="43"/>
        <v>11554.1031</v>
      </c>
      <c r="BP20" s="1139">
        <f t="shared" si="43"/>
        <v>11974.878644999999</v>
      </c>
      <c r="BQ20" s="1139">
        <f t="shared" si="43"/>
        <v>12598.5363222</v>
      </c>
      <c r="BR20" s="1139">
        <f t="shared" si="43"/>
        <v>13264.690150788001</v>
      </c>
      <c r="BS20" s="37"/>
    </row>
    <row r="21" spans="1:71" s="673" customFormat="1" ht="15" hidden="1" outlineLevel="1">
      <c r="A21" s="127" t="s">
        <v>27</v>
      </c>
      <c r="B21" s="480"/>
      <c r="C21" s="1131"/>
      <c r="D21" s="1131"/>
      <c r="E21" s="1140">
        <f t="shared" si="44" ref="E21:AK21">E15-E27</f>
        <v>837</v>
      </c>
      <c r="F21" s="1140">
        <f t="shared" si="44"/>
        <v>798</v>
      </c>
      <c r="G21" s="1140">
        <f t="shared" si="44"/>
        <v>845</v>
      </c>
      <c r="H21" s="288">
        <f t="shared" si="44"/>
        <v>92</v>
      </c>
      <c r="I21" s="288">
        <f t="shared" si="44"/>
        <v>136</v>
      </c>
      <c r="J21" s="288">
        <f t="shared" si="44"/>
        <v>439</v>
      </c>
      <c r="K21" s="288">
        <f t="shared" si="44"/>
        <v>109</v>
      </c>
      <c r="L21" s="1140">
        <f t="shared" si="44"/>
        <v>776</v>
      </c>
      <c r="M21" s="288">
        <f t="shared" si="44"/>
        <v>88</v>
      </c>
      <c r="N21" s="288">
        <f t="shared" si="44"/>
        <v>138</v>
      </c>
      <c r="O21" s="288">
        <f t="shared" si="44"/>
        <v>456</v>
      </c>
      <c r="P21" s="288">
        <f t="shared" si="44"/>
        <v>137</v>
      </c>
      <c r="Q21" s="1140">
        <f t="shared" si="44"/>
        <v>819</v>
      </c>
      <c r="R21" s="288">
        <f t="shared" si="44"/>
        <v>87</v>
      </c>
      <c r="S21" s="288">
        <f t="shared" si="44"/>
        <v>156</v>
      </c>
      <c r="T21" s="288">
        <f t="shared" si="44"/>
        <v>406</v>
      </c>
      <c r="U21" s="288">
        <f t="shared" si="44"/>
        <v>183</v>
      </c>
      <c r="V21" s="1140">
        <f t="shared" si="44"/>
        <v>832</v>
      </c>
      <c r="W21" s="288">
        <f t="shared" si="44"/>
        <v>92</v>
      </c>
      <c r="X21" s="288">
        <f t="shared" si="44"/>
        <v>180</v>
      </c>
      <c r="Y21" s="288">
        <f t="shared" si="44"/>
        <v>449</v>
      </c>
      <c r="Z21" s="288">
        <f t="shared" si="44"/>
        <v>202</v>
      </c>
      <c r="AA21" s="1140">
        <f t="shared" si="44"/>
        <v>923</v>
      </c>
      <c r="AB21" s="288">
        <f t="shared" si="44"/>
        <v>102</v>
      </c>
      <c r="AC21" s="288">
        <f t="shared" si="44"/>
        <v>193</v>
      </c>
      <c r="AD21" s="288">
        <f t="shared" si="44"/>
        <v>393</v>
      </c>
      <c r="AE21" s="288">
        <f t="shared" si="44"/>
        <v>203</v>
      </c>
      <c r="AF21" s="1140">
        <f t="shared" si="44"/>
        <v>891</v>
      </c>
      <c r="AG21" s="288">
        <f t="shared" si="44"/>
        <v>95</v>
      </c>
      <c r="AH21" s="288">
        <f t="shared" si="44"/>
        <v>157</v>
      </c>
      <c r="AI21" s="288">
        <f t="shared" si="44"/>
        <v>452</v>
      </c>
      <c r="AJ21" s="288">
        <f t="shared" si="44"/>
        <v>179</v>
      </c>
      <c r="AK21" s="1140">
        <f t="shared" si="44"/>
        <v>883</v>
      </c>
      <c r="AL21" s="288">
        <f t="shared" si="45" ref="AL21:AM25">AL15-AL27</f>
        <v>108</v>
      </c>
      <c r="AM21" s="288">
        <f t="shared" si="45"/>
        <v>185</v>
      </c>
      <c r="AN21" s="288">
        <f t="shared" si="46" ref="AN21:AP25">AN15-AN27</f>
        <v>426</v>
      </c>
      <c r="AO21" s="288">
        <f t="shared" si="46"/>
        <v>207</v>
      </c>
      <c r="AP21" s="1140">
        <f t="shared" si="46"/>
        <v>926</v>
      </c>
      <c r="AQ21" s="288">
        <f t="shared" si="47" ref="AQ21:AR25">AQ15-AQ27</f>
        <v>117</v>
      </c>
      <c r="AR21" s="288">
        <f t="shared" si="47"/>
        <v>287</v>
      </c>
      <c r="AS21" s="288">
        <f t="shared" si="48" ref="AS21:AU25">AS15-AS27</f>
        <v>561</v>
      </c>
      <c r="AT21" s="288">
        <f t="shared" si="48"/>
        <v>141</v>
      </c>
      <c r="AU21" s="1140">
        <f t="shared" si="48"/>
        <v>1106</v>
      </c>
      <c r="AV21" s="288">
        <f t="shared" si="49" ref="AV21:AW25">AV15-AV27</f>
        <v>259</v>
      </c>
      <c r="AW21" s="288">
        <f t="shared" si="49"/>
        <v>330</v>
      </c>
      <c r="AX21" s="288">
        <f t="shared" si="50" ref="AX21:AZ25">AX15-AX27</f>
        <v>778</v>
      </c>
      <c r="AY21" s="288">
        <f t="shared" si="50"/>
        <v>178</v>
      </c>
      <c r="AZ21" s="1140">
        <f t="shared" si="50"/>
        <v>1545</v>
      </c>
      <c r="BA21" s="288">
        <f t="shared" si="51" ref="BA21:BB25">BA15-BA27</f>
        <v>320</v>
      </c>
      <c r="BB21" s="288">
        <f t="shared" si="51"/>
        <v>391</v>
      </c>
      <c r="BC21" s="288">
        <f t="shared" si="52" ref="BC21:BI25">BC15-BC27</f>
        <v>687</v>
      </c>
      <c r="BD21" s="288">
        <f t="shared" si="52"/>
        <v>197</v>
      </c>
      <c r="BE21" s="1140">
        <f t="shared" si="52"/>
        <v>1595</v>
      </c>
      <c r="BF21" s="288">
        <f t="shared" si="53" ref="BF21:BG25">BF15-BF27</f>
        <v>368</v>
      </c>
      <c r="BG21" s="288">
        <f t="shared" si="53"/>
        <v>403</v>
      </c>
      <c r="BH21" s="875">
        <f>BH15-BH27</f>
        <v>967</v>
      </c>
      <c r="BI21" s="171">
        <f t="shared" si="52"/>
        <v>242.97000000000003</v>
      </c>
      <c r="BJ21" s="1133">
        <f>SUM(BF21,BG21,BH21,BI21)</f>
        <v>1980.97</v>
      </c>
      <c r="BK21" s="171">
        <f t="shared" si="54" ref="BK21:BN25">BK15-BK27</f>
        <v>209.54149999999993</v>
      </c>
      <c r="BL21" s="171">
        <f t="shared" si="54"/>
        <v>357.72</v>
      </c>
      <c r="BM21" s="171">
        <f t="shared" si="54"/>
        <v>1283.163</v>
      </c>
      <c r="BN21" s="171">
        <f t="shared" si="54"/>
        <v>274.55610000000001</v>
      </c>
      <c r="BO21" s="1133">
        <f>SUM(BK21,BL21,BM21,BN21)</f>
        <v>2124.9805999999999</v>
      </c>
      <c r="BP21" s="1131">
        <f t="shared" si="55" ref="BP21:BR25">BP15-BP27</f>
        <v>2134.2426959999998</v>
      </c>
      <c r="BQ21" s="1131">
        <f t="shared" si="55"/>
        <v>816.34783122000044</v>
      </c>
      <c r="BR21" s="1133">
        <f t="shared" si="55"/>
        <v>832.67478784440027</v>
      </c>
      <c r="BS21" s="32"/>
    </row>
    <row r="22" spans="1:71" s="673" customFormat="1" ht="15" hidden="1" outlineLevel="1">
      <c r="A22" s="127" t="s">
        <v>28</v>
      </c>
      <c r="B22" s="480"/>
      <c r="C22" s="1131"/>
      <c r="D22" s="1131"/>
      <c r="E22" s="1140">
        <f t="shared" si="56" ref="E22:AK22">E16-E28</f>
        <v>435</v>
      </c>
      <c r="F22" s="1140">
        <f t="shared" si="56"/>
        <v>492</v>
      </c>
      <c r="G22" s="1140">
        <f t="shared" si="56"/>
        <v>566</v>
      </c>
      <c r="H22" s="288">
        <f t="shared" si="56"/>
        <v>176</v>
      </c>
      <c r="I22" s="288">
        <f t="shared" si="56"/>
        <v>156</v>
      </c>
      <c r="J22" s="288">
        <f t="shared" si="56"/>
        <v>171</v>
      </c>
      <c r="K22" s="288">
        <f t="shared" si="56"/>
        <v>162</v>
      </c>
      <c r="L22" s="1140">
        <f t="shared" si="56"/>
        <v>665</v>
      </c>
      <c r="M22" s="288">
        <f t="shared" si="56"/>
        <v>182</v>
      </c>
      <c r="N22" s="288">
        <f t="shared" si="56"/>
        <v>158</v>
      </c>
      <c r="O22" s="288">
        <f t="shared" si="56"/>
        <v>189</v>
      </c>
      <c r="P22" s="288">
        <f t="shared" si="56"/>
        <v>158</v>
      </c>
      <c r="Q22" s="1140">
        <f t="shared" si="56"/>
        <v>687</v>
      </c>
      <c r="R22" s="288">
        <f t="shared" si="56"/>
        <v>179</v>
      </c>
      <c r="S22" s="288">
        <f t="shared" si="56"/>
        <v>185</v>
      </c>
      <c r="T22" s="288">
        <f t="shared" si="56"/>
        <v>218</v>
      </c>
      <c r="U22" s="288">
        <f t="shared" si="56"/>
        <v>174</v>
      </c>
      <c r="V22" s="1140">
        <f t="shared" si="56"/>
        <v>756</v>
      </c>
      <c r="W22" s="288">
        <f t="shared" si="56"/>
        <v>204</v>
      </c>
      <c r="X22" s="288">
        <f t="shared" si="56"/>
        <v>195</v>
      </c>
      <c r="Y22" s="288">
        <f t="shared" si="56"/>
        <v>226</v>
      </c>
      <c r="Z22" s="288">
        <f t="shared" si="56"/>
        <v>182</v>
      </c>
      <c r="AA22" s="1140">
        <f t="shared" si="56"/>
        <v>807</v>
      </c>
      <c r="AB22" s="288">
        <f t="shared" si="56"/>
        <v>259</v>
      </c>
      <c r="AC22" s="288">
        <f t="shared" si="56"/>
        <v>219</v>
      </c>
      <c r="AD22" s="288">
        <f t="shared" si="56"/>
        <v>261</v>
      </c>
      <c r="AE22" s="288">
        <f t="shared" si="56"/>
        <v>197</v>
      </c>
      <c r="AF22" s="1140">
        <f t="shared" si="56"/>
        <v>936</v>
      </c>
      <c r="AG22" s="288">
        <f t="shared" si="56"/>
        <v>286</v>
      </c>
      <c r="AH22" s="288">
        <f t="shared" si="56"/>
        <v>234</v>
      </c>
      <c r="AI22" s="288">
        <f t="shared" si="56"/>
        <v>287</v>
      </c>
      <c r="AJ22" s="288">
        <f t="shared" si="56"/>
        <v>260</v>
      </c>
      <c r="AK22" s="1140">
        <f t="shared" si="56"/>
        <v>1067</v>
      </c>
      <c r="AL22" s="288">
        <f t="shared" si="45"/>
        <v>263</v>
      </c>
      <c r="AM22" s="288">
        <f t="shared" si="45"/>
        <v>241</v>
      </c>
      <c r="AN22" s="288">
        <f t="shared" si="46"/>
        <v>336</v>
      </c>
      <c r="AO22" s="288">
        <f t="shared" si="46"/>
        <v>300</v>
      </c>
      <c r="AP22" s="1140">
        <f t="shared" si="46"/>
        <v>1140</v>
      </c>
      <c r="AQ22" s="288">
        <f t="shared" si="47"/>
        <v>316</v>
      </c>
      <c r="AR22" s="288">
        <f t="shared" si="47"/>
        <v>305</v>
      </c>
      <c r="AS22" s="288">
        <f t="shared" si="48"/>
        <v>389</v>
      </c>
      <c r="AT22" s="288">
        <f t="shared" si="48"/>
        <v>340</v>
      </c>
      <c r="AU22" s="1140">
        <f t="shared" si="48"/>
        <v>1350</v>
      </c>
      <c r="AV22" s="288">
        <f t="shared" si="49"/>
        <v>326</v>
      </c>
      <c r="AW22" s="288">
        <f t="shared" si="49"/>
        <v>302</v>
      </c>
      <c r="AX22" s="288">
        <f t="shared" si="50"/>
        <v>407</v>
      </c>
      <c r="AY22" s="288">
        <f t="shared" si="50"/>
        <v>352</v>
      </c>
      <c r="AZ22" s="1140">
        <f t="shared" si="50"/>
        <v>1387</v>
      </c>
      <c r="BA22" s="288">
        <f t="shared" si="51"/>
        <v>339</v>
      </c>
      <c r="BB22" s="288">
        <f t="shared" si="51"/>
        <v>319</v>
      </c>
      <c r="BC22" s="288">
        <f t="shared" si="52"/>
        <v>397</v>
      </c>
      <c r="BD22" s="288">
        <f t="shared" si="52"/>
        <v>369</v>
      </c>
      <c r="BE22" s="1140">
        <f t="shared" si="52"/>
        <v>1424</v>
      </c>
      <c r="BF22" s="288">
        <f t="shared" si="53"/>
        <v>346</v>
      </c>
      <c r="BG22" s="288">
        <f t="shared" si="53"/>
        <v>319</v>
      </c>
      <c r="BH22" s="875">
        <f>BH16-BH28</f>
        <v>434</v>
      </c>
      <c r="BI22" s="171">
        <f t="shared" si="52"/>
        <v>483.18799999999999</v>
      </c>
      <c r="BJ22" s="1133">
        <f>SUM(BF22,BG22,BH22,BI22)</f>
        <v>1582.1880000000001</v>
      </c>
      <c r="BK22" s="171">
        <f t="shared" si="54"/>
        <v>335.68200000000002</v>
      </c>
      <c r="BL22" s="171">
        <f t="shared" si="54"/>
        <v>450.12000000000012</v>
      </c>
      <c r="BM22" s="171">
        <f t="shared" si="54"/>
        <v>612.8325</v>
      </c>
      <c r="BN22" s="171">
        <f t="shared" si="54"/>
        <v>546.00243999999986</v>
      </c>
      <c r="BO22" s="1133">
        <f>SUM(BK22,BL22,BM22,BN22)</f>
        <v>1944.6369399999999</v>
      </c>
      <c r="BP22" s="1131">
        <f t="shared" si="55"/>
        <v>1304.9127262499997</v>
      </c>
      <c r="BQ22" s="1131">
        <f t="shared" si="55"/>
        <v>845.58344661000046</v>
      </c>
      <c r="BR22" s="1133">
        <f t="shared" si="55"/>
        <v>913.23012233880036</v>
      </c>
      <c r="BS22" s="32"/>
    </row>
    <row r="23" spans="1:71" s="673" customFormat="1" ht="15" hidden="1" outlineLevel="1">
      <c r="A23" s="127" t="s">
        <v>29</v>
      </c>
      <c r="B23" s="480"/>
      <c r="C23" s="1131"/>
      <c r="D23" s="1131"/>
      <c r="E23" s="1140">
        <f t="shared" si="57" ref="E23:AK23">E17-E29</f>
        <v>131</v>
      </c>
      <c r="F23" s="1140">
        <f t="shared" si="57"/>
        <v>155</v>
      </c>
      <c r="G23" s="1140">
        <f t="shared" si="57"/>
        <v>136</v>
      </c>
      <c r="H23" s="288">
        <f t="shared" si="57"/>
        <v>25</v>
      </c>
      <c r="I23" s="288">
        <f t="shared" si="57"/>
        <v>27</v>
      </c>
      <c r="J23" s="288">
        <f t="shared" si="57"/>
        <v>36</v>
      </c>
      <c r="K23" s="288">
        <f t="shared" si="57"/>
        <v>29</v>
      </c>
      <c r="L23" s="1140">
        <f t="shared" si="57"/>
        <v>117</v>
      </c>
      <c r="M23" s="288">
        <f t="shared" si="57"/>
        <v>22</v>
      </c>
      <c r="N23" s="288">
        <f t="shared" si="57"/>
        <v>21</v>
      </c>
      <c r="O23" s="288">
        <f t="shared" si="57"/>
        <v>27</v>
      </c>
      <c r="P23" s="288">
        <f t="shared" si="57"/>
        <v>27</v>
      </c>
      <c r="Q23" s="1140">
        <f t="shared" si="57"/>
        <v>97</v>
      </c>
      <c r="R23" s="288">
        <f t="shared" si="57"/>
        <v>22</v>
      </c>
      <c r="S23" s="288">
        <f t="shared" si="57"/>
        <v>28</v>
      </c>
      <c r="T23" s="288">
        <f t="shared" si="57"/>
        <v>37</v>
      </c>
      <c r="U23" s="288">
        <f t="shared" si="57"/>
        <v>26</v>
      </c>
      <c r="V23" s="1140">
        <f t="shared" si="57"/>
        <v>113</v>
      </c>
      <c r="W23" s="288">
        <f t="shared" si="57"/>
        <v>23</v>
      </c>
      <c r="X23" s="288">
        <f t="shared" si="57"/>
        <v>25</v>
      </c>
      <c r="Y23" s="288">
        <f t="shared" si="57"/>
        <v>31</v>
      </c>
      <c r="Z23" s="288">
        <f t="shared" si="57"/>
        <v>52</v>
      </c>
      <c r="AA23" s="1140">
        <f t="shared" si="57"/>
        <v>131</v>
      </c>
      <c r="AB23" s="288">
        <f t="shared" si="57"/>
        <v>31</v>
      </c>
      <c r="AC23" s="288">
        <f t="shared" si="57"/>
        <v>33</v>
      </c>
      <c r="AD23" s="288">
        <f t="shared" si="57"/>
        <v>42</v>
      </c>
      <c r="AE23" s="288">
        <f t="shared" si="57"/>
        <v>42</v>
      </c>
      <c r="AF23" s="1140">
        <f t="shared" si="57"/>
        <v>148</v>
      </c>
      <c r="AG23" s="288">
        <f t="shared" si="57"/>
        <v>39</v>
      </c>
      <c r="AH23" s="288">
        <f t="shared" si="57"/>
        <v>40</v>
      </c>
      <c r="AI23" s="288">
        <f t="shared" si="57"/>
        <v>40</v>
      </c>
      <c r="AJ23" s="288">
        <f t="shared" si="57"/>
        <v>36</v>
      </c>
      <c r="AK23" s="1140">
        <f t="shared" si="57"/>
        <v>155</v>
      </c>
      <c r="AL23" s="288">
        <f t="shared" si="45"/>
        <v>34</v>
      </c>
      <c r="AM23" s="288">
        <f t="shared" si="45"/>
        <v>37</v>
      </c>
      <c r="AN23" s="288">
        <f t="shared" si="46"/>
        <v>31</v>
      </c>
      <c r="AO23" s="288">
        <f t="shared" si="46"/>
        <v>32</v>
      </c>
      <c r="AP23" s="1140">
        <f t="shared" si="46"/>
        <v>134</v>
      </c>
      <c r="AQ23" s="288">
        <f t="shared" si="47"/>
        <v>31</v>
      </c>
      <c r="AR23" s="288">
        <f t="shared" si="47"/>
        <v>30</v>
      </c>
      <c r="AS23" s="288">
        <f t="shared" si="48"/>
        <v>36</v>
      </c>
      <c r="AT23" s="288">
        <f t="shared" si="48"/>
        <v>38</v>
      </c>
      <c r="AU23" s="1140">
        <f t="shared" si="48"/>
        <v>135</v>
      </c>
      <c r="AV23" s="288">
        <f t="shared" si="49"/>
        <v>41</v>
      </c>
      <c r="AW23" s="288">
        <f t="shared" si="49"/>
        <v>36</v>
      </c>
      <c r="AX23" s="288">
        <f t="shared" si="50"/>
        <v>56</v>
      </c>
      <c r="AY23" s="288">
        <f t="shared" si="50"/>
        <v>38</v>
      </c>
      <c r="AZ23" s="1140">
        <f t="shared" si="50"/>
        <v>171</v>
      </c>
      <c r="BA23" s="288">
        <f t="shared" si="51"/>
        <v>38</v>
      </c>
      <c r="BB23" s="288">
        <f t="shared" si="51"/>
        <v>58</v>
      </c>
      <c r="BC23" s="288">
        <f t="shared" si="52"/>
        <v>61</v>
      </c>
      <c r="BD23" s="288">
        <f t="shared" si="52"/>
        <v>50</v>
      </c>
      <c r="BE23" s="1140">
        <f t="shared" si="52"/>
        <v>207</v>
      </c>
      <c r="BF23" s="288">
        <f t="shared" si="53"/>
        <v>46</v>
      </c>
      <c r="BG23" s="288">
        <f t="shared" si="53"/>
        <v>51</v>
      </c>
      <c r="BH23" s="875">
        <f>BH17-BH29</f>
        <v>60</v>
      </c>
      <c r="BI23" s="171">
        <f t="shared" si="52"/>
        <v>84</v>
      </c>
      <c r="BJ23" s="1133">
        <f>SUM(BF23,BG23,BH23,BI23)</f>
        <v>241</v>
      </c>
      <c r="BK23" s="171">
        <f t="shared" si="54"/>
        <v>45.696000000000026</v>
      </c>
      <c r="BL23" s="171">
        <f t="shared" si="54"/>
        <v>82.225000000000023</v>
      </c>
      <c r="BM23" s="171">
        <f t="shared" si="54"/>
        <v>90.300000000000011</v>
      </c>
      <c r="BN23" s="171">
        <f t="shared" si="54"/>
        <v>94.080000000000041</v>
      </c>
      <c r="BO23" s="1133">
        <f>SUM(BK23,BL23,BM23,BN23)</f>
        <v>312.3010000000001</v>
      </c>
      <c r="BP23" s="1131">
        <f t="shared" si="55"/>
        <v>425.88630000000012</v>
      </c>
      <c r="BQ23" s="1131">
        <f t="shared" si="55"/>
        <v>303.79889400000002</v>
      </c>
      <c r="BR23" s="1133">
        <f t="shared" si="55"/>
        <v>325.06481658000007</v>
      </c>
      <c r="BS23" s="32"/>
    </row>
    <row r="24" spans="1:71" s="673" customFormat="1" ht="15" hidden="1" outlineLevel="1">
      <c r="A24" s="135" t="s">
        <v>30</v>
      </c>
      <c r="B24" s="481"/>
      <c r="C24" s="1134"/>
      <c r="D24" s="1134"/>
      <c r="E24" s="1141">
        <f t="shared" si="58" ref="E24:AK24">E18-E30</f>
        <v>-67</v>
      </c>
      <c r="F24" s="1141">
        <f t="shared" si="58"/>
        <v>-73</v>
      </c>
      <c r="G24" s="1141">
        <f t="shared" si="58"/>
        <v>-83</v>
      </c>
      <c r="H24" s="39">
        <f t="shared" si="58"/>
        <v>-24</v>
      </c>
      <c r="I24" s="39">
        <f t="shared" si="58"/>
        <v>-26</v>
      </c>
      <c r="J24" s="39">
        <f t="shared" si="58"/>
        <v>-29</v>
      </c>
      <c r="K24" s="39">
        <f t="shared" si="58"/>
        <v>-22</v>
      </c>
      <c r="L24" s="1141">
        <f t="shared" si="58"/>
        <v>-101</v>
      </c>
      <c r="M24" s="39">
        <f t="shared" si="58"/>
        <v>-22</v>
      </c>
      <c r="N24" s="39">
        <f t="shared" si="58"/>
        <v>-25</v>
      </c>
      <c r="O24" s="39">
        <f t="shared" si="58"/>
        <v>-29</v>
      </c>
      <c r="P24" s="39">
        <f t="shared" si="58"/>
        <v>-22</v>
      </c>
      <c r="Q24" s="1141">
        <f t="shared" si="58"/>
        <v>-98</v>
      </c>
      <c r="R24" s="39">
        <f t="shared" si="58"/>
        <v>-24</v>
      </c>
      <c r="S24" s="39">
        <f t="shared" si="58"/>
        <v>-27</v>
      </c>
      <c r="T24" s="39">
        <f t="shared" si="58"/>
        <v>-30</v>
      </c>
      <c r="U24" s="39">
        <f t="shared" si="58"/>
        <v>-25</v>
      </c>
      <c r="V24" s="1141">
        <f t="shared" si="58"/>
        <v>-106</v>
      </c>
      <c r="W24" s="39">
        <f t="shared" si="58"/>
        <v>-22</v>
      </c>
      <c r="X24" s="39">
        <f t="shared" si="58"/>
        <v>-27</v>
      </c>
      <c r="Y24" s="39">
        <f t="shared" si="58"/>
        <v>-35</v>
      </c>
      <c r="Z24" s="39">
        <f t="shared" si="58"/>
        <v>-26</v>
      </c>
      <c r="AA24" s="1141">
        <f t="shared" si="58"/>
        <v>-110</v>
      </c>
      <c r="AB24" s="39">
        <f t="shared" si="58"/>
        <v>-36</v>
      </c>
      <c r="AC24" s="39">
        <f t="shared" si="58"/>
        <v>-37</v>
      </c>
      <c r="AD24" s="39">
        <f t="shared" si="58"/>
        <v>-48</v>
      </c>
      <c r="AE24" s="39">
        <f t="shared" si="58"/>
        <v>-37</v>
      </c>
      <c r="AF24" s="1141">
        <f t="shared" si="58"/>
        <v>-158</v>
      </c>
      <c r="AG24" s="39">
        <f t="shared" si="58"/>
        <v>-32</v>
      </c>
      <c r="AH24" s="39">
        <f t="shared" si="58"/>
        <v>-31</v>
      </c>
      <c r="AI24" s="39">
        <f t="shared" si="58"/>
        <v>-46</v>
      </c>
      <c r="AJ24" s="39">
        <f t="shared" si="58"/>
        <v>-39</v>
      </c>
      <c r="AK24" s="1141">
        <f t="shared" si="58"/>
        <v>-148</v>
      </c>
      <c r="AL24" s="39">
        <f t="shared" si="45"/>
        <v>13</v>
      </c>
      <c r="AM24" s="39">
        <f t="shared" si="45"/>
        <v>-41</v>
      </c>
      <c r="AN24" s="39">
        <f t="shared" si="46"/>
        <v>-51</v>
      </c>
      <c r="AO24" s="39">
        <f t="shared" si="46"/>
        <v>-47</v>
      </c>
      <c r="AP24" s="1141">
        <f t="shared" si="46"/>
        <v>-126</v>
      </c>
      <c r="AQ24" s="39">
        <f t="shared" si="47"/>
        <v>-53</v>
      </c>
      <c r="AR24" s="39">
        <f t="shared" si="47"/>
        <v>-54</v>
      </c>
      <c r="AS24" s="39">
        <f t="shared" si="48"/>
        <v>-59</v>
      </c>
      <c r="AT24" s="39">
        <f t="shared" si="48"/>
        <v>-52</v>
      </c>
      <c r="AU24" s="1141">
        <f t="shared" si="48"/>
        <v>-218</v>
      </c>
      <c r="AV24" s="39">
        <f t="shared" si="49"/>
        <v>-58</v>
      </c>
      <c r="AW24" s="39">
        <f t="shared" si="49"/>
        <v>-61</v>
      </c>
      <c r="AX24" s="39">
        <f t="shared" si="50"/>
        <v>-72</v>
      </c>
      <c r="AY24" s="39">
        <f t="shared" si="50"/>
        <v>-61</v>
      </c>
      <c r="AZ24" s="1141">
        <f t="shared" si="50"/>
        <v>-252</v>
      </c>
      <c r="BA24" s="39">
        <f t="shared" si="51"/>
        <v>-61</v>
      </c>
      <c r="BB24" s="39">
        <f t="shared" si="51"/>
        <v>-66</v>
      </c>
      <c r="BC24" s="39">
        <f t="shared" si="52"/>
        <v>-66</v>
      </c>
      <c r="BD24" s="39">
        <f t="shared" si="52"/>
        <v>-69</v>
      </c>
      <c r="BE24" s="1141">
        <f t="shared" si="52"/>
        <v>-262</v>
      </c>
      <c r="BF24" s="39">
        <f t="shared" si="53"/>
        <v>-58</v>
      </c>
      <c r="BG24" s="39">
        <f t="shared" si="53"/>
        <v>-59</v>
      </c>
      <c r="BH24" s="876">
        <f>BH18-BH30</f>
        <v>-66</v>
      </c>
      <c r="BI24" s="363">
        <f t="shared" si="52"/>
        <v>-60</v>
      </c>
      <c r="BJ24" s="1134">
        <f>SUM(BF24,BG24,BH24,BI24)</f>
        <v>-243</v>
      </c>
      <c r="BK24" s="363">
        <f t="shared" si="54"/>
        <v>-53</v>
      </c>
      <c r="BL24" s="363">
        <f t="shared" si="54"/>
        <v>-53</v>
      </c>
      <c r="BM24" s="363">
        <f t="shared" si="54"/>
        <v>-40</v>
      </c>
      <c r="BN24" s="363">
        <f t="shared" si="54"/>
        <v>-60</v>
      </c>
      <c r="BO24" s="1134">
        <f>SUM(BK24,BL24,BM24,BN24)</f>
        <v>-206</v>
      </c>
      <c r="BP24" s="1134">
        <f t="shared" si="55"/>
        <v>-200</v>
      </c>
      <c r="BQ24" s="1134">
        <f t="shared" si="55"/>
        <v>-212</v>
      </c>
      <c r="BR24" s="1134">
        <f t="shared" si="55"/>
        <v>-212</v>
      </c>
      <c r="BS24" s="32"/>
    </row>
    <row r="25" spans="1:71" s="673" customFormat="1" ht="15" hidden="1" outlineLevel="1">
      <c r="A25" s="162" t="s">
        <v>31</v>
      </c>
      <c r="B25" s="480"/>
      <c r="C25" s="1140">
        <f>C19-C31</f>
        <v>0</v>
      </c>
      <c r="D25" s="1140">
        <f>D19-D31</f>
        <v>0</v>
      </c>
      <c r="E25" s="1140">
        <f t="shared" si="59" ref="E25:AK25">E19-E31</f>
        <v>1336</v>
      </c>
      <c r="F25" s="1140">
        <f t="shared" si="59"/>
        <v>1372</v>
      </c>
      <c r="G25" s="1140">
        <f t="shared" si="59"/>
        <v>1464</v>
      </c>
      <c r="H25" s="288">
        <f t="shared" si="59"/>
        <v>269</v>
      </c>
      <c r="I25" s="288">
        <f t="shared" si="59"/>
        <v>293</v>
      </c>
      <c r="J25" s="288">
        <f t="shared" si="59"/>
        <v>617</v>
      </c>
      <c r="K25" s="288">
        <f t="shared" si="59"/>
        <v>278</v>
      </c>
      <c r="L25" s="1140">
        <f t="shared" si="59"/>
        <v>1457</v>
      </c>
      <c r="M25" s="288">
        <f t="shared" si="59"/>
        <v>270</v>
      </c>
      <c r="N25" s="288">
        <f t="shared" si="59"/>
        <v>292</v>
      </c>
      <c r="O25" s="288">
        <f t="shared" si="59"/>
        <v>643</v>
      </c>
      <c r="P25" s="288">
        <f t="shared" si="59"/>
        <v>300</v>
      </c>
      <c r="Q25" s="1140">
        <f t="shared" si="59"/>
        <v>1505</v>
      </c>
      <c r="R25" s="288">
        <f t="shared" si="59"/>
        <v>264</v>
      </c>
      <c r="S25" s="288">
        <f t="shared" si="59"/>
        <v>342</v>
      </c>
      <c r="T25" s="288">
        <f t="shared" si="59"/>
        <v>631</v>
      </c>
      <c r="U25" s="288">
        <f t="shared" si="59"/>
        <v>358</v>
      </c>
      <c r="V25" s="1140">
        <f t="shared" si="59"/>
        <v>1595</v>
      </c>
      <c r="W25" s="288">
        <f t="shared" si="59"/>
        <v>297</v>
      </c>
      <c r="X25" s="288">
        <f t="shared" si="59"/>
        <v>373</v>
      </c>
      <c r="Y25" s="288">
        <f t="shared" si="59"/>
        <v>671</v>
      </c>
      <c r="Z25" s="288">
        <f t="shared" si="59"/>
        <v>410</v>
      </c>
      <c r="AA25" s="1140">
        <f t="shared" si="59"/>
        <v>1751</v>
      </c>
      <c r="AB25" s="288">
        <f t="shared" si="59"/>
        <v>356</v>
      </c>
      <c r="AC25" s="288">
        <f t="shared" si="59"/>
        <v>408</v>
      </c>
      <c r="AD25" s="288">
        <f t="shared" si="59"/>
        <v>648</v>
      </c>
      <c r="AE25" s="288">
        <f t="shared" si="59"/>
        <v>405</v>
      </c>
      <c r="AF25" s="1140">
        <f t="shared" si="59"/>
        <v>1817</v>
      </c>
      <c r="AG25" s="288">
        <f t="shared" si="59"/>
        <v>388</v>
      </c>
      <c r="AH25" s="288">
        <f t="shared" si="59"/>
        <v>400</v>
      </c>
      <c r="AI25" s="288">
        <f t="shared" si="59"/>
        <v>733</v>
      </c>
      <c r="AJ25" s="288">
        <f t="shared" si="59"/>
        <v>436</v>
      </c>
      <c r="AK25" s="1140">
        <f t="shared" si="59"/>
        <v>1957</v>
      </c>
      <c r="AL25" s="288">
        <f t="shared" si="45"/>
        <v>418</v>
      </c>
      <c r="AM25" s="288">
        <f t="shared" si="45"/>
        <v>422</v>
      </c>
      <c r="AN25" s="288">
        <f t="shared" si="46"/>
        <v>742</v>
      </c>
      <c r="AO25" s="288">
        <f t="shared" si="46"/>
        <v>492</v>
      </c>
      <c r="AP25" s="1140">
        <f t="shared" si="46"/>
        <v>2074</v>
      </c>
      <c r="AQ25" s="288">
        <f t="shared" si="47"/>
        <v>411</v>
      </c>
      <c r="AR25" s="288">
        <f t="shared" si="47"/>
        <v>568</v>
      </c>
      <c r="AS25" s="288">
        <f t="shared" si="48"/>
        <v>927</v>
      </c>
      <c r="AT25" s="288">
        <f t="shared" si="48"/>
        <v>467</v>
      </c>
      <c r="AU25" s="1140">
        <f t="shared" si="48"/>
        <v>2373</v>
      </c>
      <c r="AV25" s="288">
        <f t="shared" si="49"/>
        <v>568</v>
      </c>
      <c r="AW25" s="288">
        <f t="shared" si="49"/>
        <v>607</v>
      </c>
      <c r="AX25" s="288">
        <f t="shared" si="50"/>
        <v>1169</v>
      </c>
      <c r="AY25" s="288">
        <f t="shared" si="50"/>
        <v>507</v>
      </c>
      <c r="AZ25" s="1140">
        <f t="shared" si="50"/>
        <v>2851</v>
      </c>
      <c r="BA25" s="288">
        <f t="shared" si="51"/>
        <v>636</v>
      </c>
      <c r="BB25" s="288">
        <f t="shared" si="51"/>
        <v>702</v>
      </c>
      <c r="BC25" s="288">
        <f t="shared" si="52"/>
        <v>1079</v>
      </c>
      <c r="BD25" s="288">
        <f t="shared" si="52"/>
        <v>547</v>
      </c>
      <c r="BE25" s="1140">
        <f t="shared" si="52"/>
        <v>2964</v>
      </c>
      <c r="BF25" s="288">
        <f t="shared" si="53"/>
        <v>702</v>
      </c>
      <c r="BG25" s="288">
        <f t="shared" si="53"/>
        <v>714</v>
      </c>
      <c r="BH25" s="875">
        <f>BH19-BH31</f>
        <v>1395</v>
      </c>
      <c r="BI25" s="171">
        <f t="shared" si="52"/>
        <v>750.15800000000013</v>
      </c>
      <c r="BJ25" s="1133">
        <f>BJ19-BJ31</f>
        <v>3561.1579999999994</v>
      </c>
      <c r="BK25" s="171">
        <f t="shared" si="54"/>
        <v>537.91949999999997</v>
      </c>
      <c r="BL25" s="171">
        <f t="shared" si="54"/>
        <v>837.06500000000028</v>
      </c>
      <c r="BM25" s="171">
        <f t="shared" si="54"/>
        <v>1946.2954999999997</v>
      </c>
      <c r="BN25" s="171">
        <f t="shared" si="54"/>
        <v>854.63854000000015</v>
      </c>
      <c r="BO25" s="1133">
        <f>BO19-BO31</f>
        <v>4175.9185399999997</v>
      </c>
      <c r="BP25" s="1131">
        <f t="shared" si="55"/>
        <v>3665.0417222499982</v>
      </c>
      <c r="BQ25" s="1131">
        <f t="shared" si="55"/>
        <v>1753.7301718300005</v>
      </c>
      <c r="BR25" s="1133">
        <f t="shared" si="55"/>
        <v>1858.9697267632018</v>
      </c>
      <c r="BS25" s="32"/>
    </row>
    <row r="26" spans="1:71" s="674" customFormat="1" ht="15" hidden="1" outlineLevel="1">
      <c r="A26" s="94" t="s">
        <v>32</v>
      </c>
      <c r="B26" s="484"/>
      <c r="C26" s="1142">
        <f t="shared" si="60" ref="C26:AK26">C25</f>
        <v>0</v>
      </c>
      <c r="D26" s="1142">
        <f t="shared" si="60"/>
        <v>0</v>
      </c>
      <c r="E26" s="1142">
        <f t="shared" si="60"/>
        <v>1336</v>
      </c>
      <c r="F26" s="1142">
        <f t="shared" si="60"/>
        <v>1372</v>
      </c>
      <c r="G26" s="1142">
        <f t="shared" si="60"/>
        <v>1464</v>
      </c>
      <c r="H26" s="98">
        <f t="shared" si="60"/>
        <v>269</v>
      </c>
      <c r="I26" s="98">
        <f t="shared" si="60"/>
        <v>293</v>
      </c>
      <c r="J26" s="98">
        <f t="shared" si="60"/>
        <v>617</v>
      </c>
      <c r="K26" s="98">
        <f t="shared" si="60"/>
        <v>278</v>
      </c>
      <c r="L26" s="1142">
        <f t="shared" si="60"/>
        <v>1457</v>
      </c>
      <c r="M26" s="98">
        <f t="shared" si="60"/>
        <v>270</v>
      </c>
      <c r="N26" s="98">
        <f t="shared" si="60"/>
        <v>292</v>
      </c>
      <c r="O26" s="98">
        <f t="shared" si="60"/>
        <v>643</v>
      </c>
      <c r="P26" s="98">
        <f t="shared" si="60"/>
        <v>300</v>
      </c>
      <c r="Q26" s="1142">
        <f t="shared" si="60"/>
        <v>1505</v>
      </c>
      <c r="R26" s="98">
        <f t="shared" si="60"/>
        <v>264</v>
      </c>
      <c r="S26" s="98">
        <f t="shared" si="60"/>
        <v>342</v>
      </c>
      <c r="T26" s="98">
        <f t="shared" si="60"/>
        <v>631</v>
      </c>
      <c r="U26" s="98">
        <f t="shared" si="60"/>
        <v>358</v>
      </c>
      <c r="V26" s="1142">
        <f t="shared" si="60"/>
        <v>1595</v>
      </c>
      <c r="W26" s="98">
        <f t="shared" si="60"/>
        <v>297</v>
      </c>
      <c r="X26" s="98">
        <f t="shared" si="60"/>
        <v>373</v>
      </c>
      <c r="Y26" s="98">
        <f t="shared" si="60"/>
        <v>671</v>
      </c>
      <c r="Z26" s="98">
        <f t="shared" si="60"/>
        <v>410</v>
      </c>
      <c r="AA26" s="1142">
        <f t="shared" si="60"/>
        <v>1751</v>
      </c>
      <c r="AB26" s="98">
        <f t="shared" si="60"/>
        <v>356</v>
      </c>
      <c r="AC26" s="98">
        <f t="shared" si="60"/>
        <v>408</v>
      </c>
      <c r="AD26" s="98">
        <f t="shared" si="60"/>
        <v>648</v>
      </c>
      <c r="AE26" s="98">
        <f t="shared" si="60"/>
        <v>405</v>
      </c>
      <c r="AF26" s="1142">
        <f t="shared" si="60"/>
        <v>1817</v>
      </c>
      <c r="AG26" s="98">
        <f t="shared" si="60"/>
        <v>388</v>
      </c>
      <c r="AH26" s="98">
        <f t="shared" si="60"/>
        <v>400</v>
      </c>
      <c r="AI26" s="98">
        <f t="shared" si="60"/>
        <v>733</v>
      </c>
      <c r="AJ26" s="98">
        <f t="shared" si="60"/>
        <v>436</v>
      </c>
      <c r="AK26" s="1142">
        <f t="shared" si="60"/>
        <v>1957</v>
      </c>
      <c r="AL26" s="98">
        <f t="shared" si="61" ref="AL26:AQ26">AL25</f>
        <v>418</v>
      </c>
      <c r="AM26" s="98">
        <f t="shared" si="61"/>
        <v>422</v>
      </c>
      <c r="AN26" s="98">
        <f t="shared" si="61"/>
        <v>742</v>
      </c>
      <c r="AO26" s="98">
        <f t="shared" si="61"/>
        <v>492</v>
      </c>
      <c r="AP26" s="1142">
        <f t="shared" si="61"/>
        <v>2074</v>
      </c>
      <c r="AQ26" s="98">
        <f t="shared" si="61"/>
        <v>411</v>
      </c>
      <c r="AR26" s="98">
        <f t="shared" si="62" ref="AR26:AW26">AR25</f>
        <v>568</v>
      </c>
      <c r="AS26" s="98">
        <f t="shared" si="62"/>
        <v>927</v>
      </c>
      <c r="AT26" s="98">
        <f t="shared" si="62"/>
        <v>467</v>
      </c>
      <c r="AU26" s="1142">
        <f t="shared" si="62"/>
        <v>2373</v>
      </c>
      <c r="AV26" s="98">
        <f t="shared" si="62"/>
        <v>568</v>
      </c>
      <c r="AW26" s="98">
        <f t="shared" si="62"/>
        <v>607</v>
      </c>
      <c r="AX26" s="98">
        <f t="shared" si="63" ref="AX26:BJ26">AX25</f>
        <v>1169</v>
      </c>
      <c r="AY26" s="98">
        <f t="shared" si="63"/>
        <v>507</v>
      </c>
      <c r="AZ26" s="1142">
        <f t="shared" si="63"/>
        <v>2851</v>
      </c>
      <c r="BA26" s="98">
        <f t="shared" si="64" ref="BA26:BI26">BA25</f>
        <v>636</v>
      </c>
      <c r="BB26" s="98">
        <f t="shared" si="64"/>
        <v>702</v>
      </c>
      <c r="BC26" s="98">
        <f t="shared" si="64"/>
        <v>1079</v>
      </c>
      <c r="BD26" s="98">
        <f t="shared" si="64"/>
        <v>547</v>
      </c>
      <c r="BE26" s="1142">
        <f t="shared" si="64"/>
        <v>2964</v>
      </c>
      <c r="BF26" s="98">
        <f>BF25</f>
        <v>702</v>
      </c>
      <c r="BG26" s="98">
        <f>BG25</f>
        <v>714</v>
      </c>
      <c r="BH26" s="877">
        <f>BH25</f>
        <v>1395</v>
      </c>
      <c r="BI26" s="753">
        <f t="shared" si="64"/>
        <v>750.15800000000013</v>
      </c>
      <c r="BJ26" s="1143">
        <f t="shared" si="63"/>
        <v>3561.1579999999994</v>
      </c>
      <c r="BK26" s="753">
        <f t="shared" si="65" ref="BK26:BR26">BK25</f>
        <v>537.91949999999997</v>
      </c>
      <c r="BL26" s="753">
        <f t="shared" si="65"/>
        <v>837.06500000000028</v>
      </c>
      <c r="BM26" s="753">
        <f t="shared" si="65"/>
        <v>1946.2954999999997</v>
      </c>
      <c r="BN26" s="753">
        <f t="shared" si="65"/>
        <v>854.63854000000015</v>
      </c>
      <c r="BO26" s="1143">
        <f t="shared" si="65"/>
        <v>4175.9185399999997</v>
      </c>
      <c r="BP26" s="1143">
        <f t="shared" si="65"/>
        <v>3665.0417222499982</v>
      </c>
      <c r="BQ26" s="1143">
        <f t="shared" si="65"/>
        <v>1753.7301718300005</v>
      </c>
      <c r="BR26" s="1143">
        <f t="shared" si="65"/>
        <v>1858.9697267632018</v>
      </c>
      <c r="BS26" s="37"/>
    </row>
    <row r="27" spans="1:71" s="673" customFormat="1" ht="15" collapsed="1">
      <c r="A27" s="162" t="s">
        <v>33</v>
      </c>
      <c r="B27" s="133"/>
      <c r="C27" s="1144"/>
      <c r="D27" s="1144"/>
      <c r="E27" s="1145">
        <v>1436</v>
      </c>
      <c r="F27" s="1145">
        <v>1473</v>
      </c>
      <c r="G27" s="1145">
        <v>1547</v>
      </c>
      <c r="H27" s="1042">
        <v>284</v>
      </c>
      <c r="I27" s="1042">
        <v>353</v>
      </c>
      <c r="J27" s="1042">
        <v>556</v>
      </c>
      <c r="K27" s="1042">
        <v>373</v>
      </c>
      <c r="L27" s="1145">
        <v>1566</v>
      </c>
      <c r="M27" s="1042">
        <v>288</v>
      </c>
      <c r="N27" s="1042">
        <v>362</v>
      </c>
      <c r="O27" s="1042">
        <v>608</v>
      </c>
      <c r="P27" s="1042">
        <v>378</v>
      </c>
      <c r="Q27" s="1145">
        <v>1636</v>
      </c>
      <c r="R27" s="1042">
        <v>311</v>
      </c>
      <c r="S27" s="1042">
        <v>382</v>
      </c>
      <c r="T27" s="1042">
        <v>585</v>
      </c>
      <c r="U27" s="1042">
        <v>394</v>
      </c>
      <c r="V27" s="1145">
        <v>1672</v>
      </c>
      <c r="W27" s="1042">
        <v>324</v>
      </c>
      <c r="X27" s="1042">
        <v>393</v>
      </c>
      <c r="Y27" s="1042">
        <v>624</v>
      </c>
      <c r="Z27" s="1042">
        <v>424</v>
      </c>
      <c r="AA27" s="1145">
        <v>1765</v>
      </c>
      <c r="AB27" s="1042">
        <v>324</v>
      </c>
      <c r="AC27" s="1042">
        <v>422</v>
      </c>
      <c r="AD27" s="1042">
        <v>560</v>
      </c>
      <c r="AE27" s="1042">
        <v>448</v>
      </c>
      <c r="AF27" s="1145">
        <v>1754</v>
      </c>
      <c r="AG27" s="1042">
        <v>344</v>
      </c>
      <c r="AH27" s="1042">
        <v>422</v>
      </c>
      <c r="AI27" s="1042">
        <v>661</v>
      </c>
      <c r="AJ27" s="1042">
        <v>449</v>
      </c>
      <c r="AK27" s="1145">
        <v>1876</v>
      </c>
      <c r="AL27" s="1042">
        <v>386</v>
      </c>
      <c r="AM27" s="1042">
        <v>426</v>
      </c>
      <c r="AN27" s="1042">
        <v>635</v>
      </c>
      <c r="AO27" s="310">
        <f>AP27-SUM(AL27,AM27,AN27)</f>
        <v>440</v>
      </c>
      <c r="AP27" s="1145">
        <v>1887</v>
      </c>
      <c r="AQ27" s="1042">
        <v>403</v>
      </c>
      <c r="AR27" s="1042">
        <v>564</v>
      </c>
      <c r="AS27" s="1042">
        <v>773</v>
      </c>
      <c r="AT27" s="310">
        <f>AU27-SUM(AQ27,AR27,AS27)</f>
        <v>417</v>
      </c>
      <c r="AU27" s="1145">
        <v>2157</v>
      </c>
      <c r="AV27" s="1042">
        <v>501</v>
      </c>
      <c r="AW27" s="1042">
        <v>632</v>
      </c>
      <c r="AX27" s="1042">
        <v>959</v>
      </c>
      <c r="AY27" s="310">
        <f>AZ27-SUM(AV27,AW27,AX27)</f>
        <v>423</v>
      </c>
      <c r="AZ27" s="1145">
        <v>2515</v>
      </c>
      <c r="BA27" s="1042">
        <v>552</v>
      </c>
      <c r="BB27" s="1042">
        <v>668</v>
      </c>
      <c r="BC27" s="1042">
        <v>905</v>
      </c>
      <c r="BD27" s="310">
        <f>BE27-SUM(BA27,BB27,BC27)</f>
        <v>426</v>
      </c>
      <c r="BE27" s="1145">
        <v>2551</v>
      </c>
      <c r="BF27" s="1042">
        <v>591</v>
      </c>
      <c r="BG27" s="1042">
        <v>681</v>
      </c>
      <c r="BH27" s="1043">
        <v>1140</v>
      </c>
      <c r="BI27" s="754">
        <f t="shared" si="66" ref="BI27:BI29">BI15*BI94</f>
        <v>566.92999999999995</v>
      </c>
      <c r="BJ27" s="1146">
        <f>SUM(BF27,BG27,BH27,BI27)</f>
        <v>2978.93</v>
      </c>
      <c r="BK27" s="754">
        <f t="shared" si="67" ref="BK27:BN29">BK15*BK94</f>
        <v>701.50850000000003</v>
      </c>
      <c r="BL27" s="754">
        <f t="shared" si="67"/>
        <v>834.68</v>
      </c>
      <c r="BM27" s="754">
        <f t="shared" si="67"/>
        <v>929.1869999999999</v>
      </c>
      <c r="BN27" s="754">
        <f t="shared" si="67"/>
        <v>640.63089999999988</v>
      </c>
      <c r="BO27" s="1146">
        <f>SUM(BK27,BL27,BM27,BN27)</f>
        <v>3106.0064000000002</v>
      </c>
      <c r="BP27" s="1144">
        <f t="shared" si="68" ref="BP27:BR29">BP15*BP94</f>
        <v>3201.3640439999995</v>
      </c>
      <c r="BQ27" s="1144">
        <f t="shared" si="68"/>
        <v>4625.9710435799989</v>
      </c>
      <c r="BR27" s="1146">
        <f t="shared" si="68"/>
        <v>4718.4904644515991</v>
      </c>
      <c r="BS27" s="32"/>
    </row>
    <row r="28" spans="1:71" s="673" customFormat="1" ht="15">
      <c r="A28" s="162" t="s">
        <v>34</v>
      </c>
      <c r="B28" s="133"/>
      <c r="C28" s="1144"/>
      <c r="D28" s="1144"/>
      <c r="E28" s="1145">
        <v>867</v>
      </c>
      <c r="F28" s="1145">
        <v>992</v>
      </c>
      <c r="G28" s="1145">
        <v>1224</v>
      </c>
      <c r="H28" s="1042">
        <v>331</v>
      </c>
      <c r="I28" s="1042">
        <v>499</v>
      </c>
      <c r="J28" s="1042">
        <v>536</v>
      </c>
      <c r="K28" s="1042">
        <v>498</v>
      </c>
      <c r="L28" s="1145">
        <v>1864</v>
      </c>
      <c r="M28" s="1042">
        <v>501</v>
      </c>
      <c r="N28" s="1042">
        <v>503</v>
      </c>
      <c r="O28" s="1042">
        <v>545</v>
      </c>
      <c r="P28" s="1042">
        <v>503</v>
      </c>
      <c r="Q28" s="1145">
        <v>2052</v>
      </c>
      <c r="R28" s="1042">
        <v>519</v>
      </c>
      <c r="S28" s="1042">
        <v>503</v>
      </c>
      <c r="T28" s="1042">
        <v>504</v>
      </c>
      <c r="U28" s="1042">
        <v>510</v>
      </c>
      <c r="V28" s="1145">
        <v>2036</v>
      </c>
      <c r="W28" s="1042">
        <v>540</v>
      </c>
      <c r="X28" s="1042">
        <v>561</v>
      </c>
      <c r="Y28" s="1042">
        <v>624</v>
      </c>
      <c r="Z28" s="1042">
        <v>555</v>
      </c>
      <c r="AA28" s="1145">
        <v>2280</v>
      </c>
      <c r="AB28" s="1042">
        <v>594</v>
      </c>
      <c r="AC28" s="1042">
        <v>639</v>
      </c>
      <c r="AD28" s="1042">
        <v>695</v>
      </c>
      <c r="AE28" s="1042">
        <v>581</v>
      </c>
      <c r="AF28" s="1145">
        <v>2509</v>
      </c>
      <c r="AG28" s="1042">
        <v>626</v>
      </c>
      <c r="AH28" s="1042">
        <v>662</v>
      </c>
      <c r="AI28" s="1042">
        <v>744</v>
      </c>
      <c r="AJ28" s="1042">
        <v>669</v>
      </c>
      <c r="AK28" s="1145">
        <v>2701</v>
      </c>
      <c r="AL28" s="1042">
        <v>586</v>
      </c>
      <c r="AM28" s="1042">
        <v>511</v>
      </c>
      <c r="AN28" s="1042">
        <v>642</v>
      </c>
      <c r="AO28" s="310">
        <f>AP28-SUM(AL28,AM28,AN28)</f>
        <v>565</v>
      </c>
      <c r="AP28" s="1145">
        <v>2304</v>
      </c>
      <c r="AQ28" s="1042">
        <v>588</v>
      </c>
      <c r="AR28" s="1042">
        <v>592</v>
      </c>
      <c r="AS28" s="1042">
        <v>732</v>
      </c>
      <c r="AT28" s="310">
        <f>AU28-SUM(AQ28,AR28,AS28)</f>
        <v>628</v>
      </c>
      <c r="AU28" s="1145">
        <v>2540</v>
      </c>
      <c r="AV28" s="1042">
        <v>650</v>
      </c>
      <c r="AW28" s="1042">
        <v>646</v>
      </c>
      <c r="AX28" s="1042">
        <v>777</v>
      </c>
      <c r="AY28" s="310">
        <f>AZ28-SUM(AV28,AW28,AX28)</f>
        <v>655</v>
      </c>
      <c r="AZ28" s="1145">
        <v>2728</v>
      </c>
      <c r="BA28" s="1042">
        <v>722</v>
      </c>
      <c r="BB28" s="1042">
        <v>693</v>
      </c>
      <c r="BC28" s="1042">
        <v>829</v>
      </c>
      <c r="BD28" s="310">
        <f>BE28-SUM(BA28,BB28,BC28)</f>
        <v>700</v>
      </c>
      <c r="BE28" s="1145">
        <v>2944</v>
      </c>
      <c r="BF28" s="1042">
        <v>751</v>
      </c>
      <c r="BG28" s="1042">
        <v>704</v>
      </c>
      <c r="BH28" s="1043">
        <v>863</v>
      </c>
      <c r="BI28" s="754">
        <f t="shared" si="66"/>
        <v>724.78199999999981</v>
      </c>
      <c r="BJ28" s="1146">
        <f>SUM(BF28,BG28,BH28,BI28)</f>
        <v>3042.7819999999997</v>
      </c>
      <c r="BK28" s="754">
        <f t="shared" si="67"/>
        <v>783.25800000000004</v>
      </c>
      <c r="BL28" s="754">
        <f t="shared" si="67"/>
        <v>675.18</v>
      </c>
      <c r="BM28" s="754">
        <f t="shared" si="67"/>
        <v>749.01750000000015</v>
      </c>
      <c r="BN28" s="754">
        <f t="shared" si="67"/>
        <v>819.00365999999974</v>
      </c>
      <c r="BO28" s="1146">
        <f>SUM(BK28,BL28,BM28,BN28)</f>
        <v>3026.4591599999999</v>
      </c>
      <c r="BP28" s="1144">
        <f t="shared" si="68"/>
        <v>3914.7381787499999</v>
      </c>
      <c r="BQ28" s="1144">
        <f t="shared" si="68"/>
        <v>4791.6395307899993</v>
      </c>
      <c r="BR28" s="1146">
        <f t="shared" si="68"/>
        <v>5174.9706932531999</v>
      </c>
      <c r="BS28" s="32"/>
    </row>
    <row r="29" spans="1:71" s="673" customFormat="1" ht="15">
      <c r="A29" s="162" t="s">
        <v>35</v>
      </c>
      <c r="B29" s="480"/>
      <c r="C29" s="1131"/>
      <c r="D29" s="1131"/>
      <c r="E29" s="1132">
        <v>398</v>
      </c>
      <c r="F29" s="1132">
        <v>411</v>
      </c>
      <c r="G29" s="1132">
        <v>486</v>
      </c>
      <c r="H29" s="1037">
        <v>116</v>
      </c>
      <c r="I29" s="1037">
        <v>120</v>
      </c>
      <c r="J29" s="1037">
        <v>121</v>
      </c>
      <c r="K29" s="1037">
        <v>131</v>
      </c>
      <c r="L29" s="1132">
        <v>488</v>
      </c>
      <c r="M29" s="1037">
        <v>115</v>
      </c>
      <c r="N29" s="1037">
        <v>136</v>
      </c>
      <c r="O29" s="1037">
        <v>137</v>
      </c>
      <c r="P29" s="1037">
        <v>152</v>
      </c>
      <c r="Q29" s="1132">
        <v>540</v>
      </c>
      <c r="R29" s="1037">
        <v>125</v>
      </c>
      <c r="S29" s="1037">
        <v>144</v>
      </c>
      <c r="T29" s="1037">
        <v>149</v>
      </c>
      <c r="U29" s="1037">
        <v>154</v>
      </c>
      <c r="V29" s="1132">
        <v>572</v>
      </c>
      <c r="W29" s="1037">
        <v>141</v>
      </c>
      <c r="X29" s="1037">
        <v>149</v>
      </c>
      <c r="Y29" s="1037">
        <v>150</v>
      </c>
      <c r="Z29" s="1037">
        <v>156</v>
      </c>
      <c r="AA29" s="1132">
        <v>596</v>
      </c>
      <c r="AB29" s="1037">
        <v>148</v>
      </c>
      <c r="AC29" s="1037">
        <v>159</v>
      </c>
      <c r="AD29" s="1037">
        <v>153</v>
      </c>
      <c r="AE29" s="1037">
        <v>142</v>
      </c>
      <c r="AF29" s="1132">
        <v>602</v>
      </c>
      <c r="AG29" s="1037">
        <v>145</v>
      </c>
      <c r="AH29" s="1037">
        <v>149</v>
      </c>
      <c r="AI29" s="1037">
        <v>167</v>
      </c>
      <c r="AJ29" s="1037">
        <v>156</v>
      </c>
      <c r="AK29" s="1132">
        <v>617</v>
      </c>
      <c r="AL29" s="1037">
        <v>149</v>
      </c>
      <c r="AM29" s="1037">
        <v>139</v>
      </c>
      <c r="AN29" s="1037">
        <v>153</v>
      </c>
      <c r="AO29" s="288">
        <f>AP29-SUM(AL29,AM29,AN29)</f>
        <v>163</v>
      </c>
      <c r="AP29" s="1132">
        <v>604</v>
      </c>
      <c r="AQ29" s="1037">
        <v>161</v>
      </c>
      <c r="AR29" s="1037">
        <v>159</v>
      </c>
      <c r="AS29" s="1037">
        <v>165</v>
      </c>
      <c r="AT29" s="288">
        <f>AU29-SUM(AQ29,AR29,AS29)</f>
        <v>173</v>
      </c>
      <c r="AU29" s="1132">
        <v>658</v>
      </c>
      <c r="AV29" s="1037">
        <v>159</v>
      </c>
      <c r="AW29" s="1037">
        <v>177</v>
      </c>
      <c r="AX29" s="1037">
        <v>176</v>
      </c>
      <c r="AY29" s="288">
        <f>AZ29-SUM(AV29,AW29,AX29)</f>
        <v>199</v>
      </c>
      <c r="AZ29" s="1132">
        <v>711</v>
      </c>
      <c r="BA29" s="1037">
        <v>184</v>
      </c>
      <c r="BB29" s="1037">
        <v>240</v>
      </c>
      <c r="BC29" s="1037">
        <v>261</v>
      </c>
      <c r="BD29" s="288">
        <f>BE29-SUM(BA29,BB29,BC29)</f>
        <v>250</v>
      </c>
      <c r="BE29" s="1132">
        <v>935</v>
      </c>
      <c r="BF29" s="1037">
        <v>234</v>
      </c>
      <c r="BG29" s="1037">
        <v>248</v>
      </c>
      <c r="BH29" s="1038">
        <v>284</v>
      </c>
      <c r="BI29" s="171">
        <f t="shared" si="66"/>
        <v>252.00000000000006</v>
      </c>
      <c r="BJ29" s="1133">
        <f>SUM(BF29,BG29,BH29,BI29)</f>
        <v>1018</v>
      </c>
      <c r="BK29" s="171">
        <f t="shared" si="67"/>
        <v>239.904</v>
      </c>
      <c r="BL29" s="171">
        <f t="shared" si="67"/>
        <v>246.675</v>
      </c>
      <c r="BM29" s="171">
        <f t="shared" si="67"/>
        <v>270.89999999999998</v>
      </c>
      <c r="BN29" s="171">
        <f t="shared" si="67"/>
        <v>282.24000000000007</v>
      </c>
      <c r="BO29" s="1133">
        <f>SUM(BK29,BL29,BM29,BN29)</f>
        <v>1039.7190000000001</v>
      </c>
      <c r="BP29" s="1131">
        <f t="shared" si="68"/>
        <v>993.7347000000002</v>
      </c>
      <c r="BQ29" s="1131">
        <f t="shared" si="68"/>
        <v>1215.1955760000003</v>
      </c>
      <c r="BR29" s="1133">
        <f t="shared" si="68"/>
        <v>1300.2592663200003</v>
      </c>
      <c r="BS29" s="32"/>
    </row>
    <row r="30" spans="1:71" s="673" customFormat="1" ht="15">
      <c r="A30" s="99" t="s">
        <v>36</v>
      </c>
      <c r="B30" s="481"/>
      <c r="C30" s="1134"/>
      <c r="D30" s="1134"/>
      <c r="E30" s="1135">
        <v>69</v>
      </c>
      <c r="F30" s="1135">
        <v>73</v>
      </c>
      <c r="G30" s="1135">
        <v>84</v>
      </c>
      <c r="H30" s="1040">
        <v>24</v>
      </c>
      <c r="I30" s="1040">
        <v>26</v>
      </c>
      <c r="J30" s="1040">
        <v>29</v>
      </c>
      <c r="K30" s="1040">
        <v>23</v>
      </c>
      <c r="L30" s="1135">
        <v>102</v>
      </c>
      <c r="M30" s="1040">
        <v>22</v>
      </c>
      <c r="N30" s="1040">
        <v>25</v>
      </c>
      <c r="O30" s="1040">
        <v>29</v>
      </c>
      <c r="P30" s="1040">
        <v>23</v>
      </c>
      <c r="Q30" s="1135">
        <v>99</v>
      </c>
      <c r="R30" s="1040">
        <v>24</v>
      </c>
      <c r="S30" s="1040">
        <v>27</v>
      </c>
      <c r="T30" s="1040">
        <v>30</v>
      </c>
      <c r="U30" s="1040">
        <v>25</v>
      </c>
      <c r="V30" s="1135">
        <v>106</v>
      </c>
      <c r="W30" s="1040">
        <v>22</v>
      </c>
      <c r="X30" s="1040">
        <v>27</v>
      </c>
      <c r="Y30" s="1040">
        <v>35</v>
      </c>
      <c r="Z30" s="1040">
        <v>26</v>
      </c>
      <c r="AA30" s="1135">
        <v>110</v>
      </c>
      <c r="AB30" s="1040">
        <v>36</v>
      </c>
      <c r="AC30" s="1040">
        <v>37</v>
      </c>
      <c r="AD30" s="1040">
        <v>48</v>
      </c>
      <c r="AE30" s="1040">
        <v>37</v>
      </c>
      <c r="AF30" s="1135">
        <v>158</v>
      </c>
      <c r="AG30" s="1040">
        <v>32</v>
      </c>
      <c r="AH30" s="1040">
        <v>31</v>
      </c>
      <c r="AI30" s="1040">
        <v>46</v>
      </c>
      <c r="AJ30" s="1040">
        <v>39</v>
      </c>
      <c r="AK30" s="1135">
        <v>148</v>
      </c>
      <c r="AL30" s="1040">
        <v>43</v>
      </c>
      <c r="AM30" s="1040">
        <f>47+8</f>
        <v>55</v>
      </c>
      <c r="AN30" s="1040">
        <f>58+1</f>
        <v>59</v>
      </c>
      <c r="AO30" s="39">
        <f>AP30-SUM(AL30,AM30,AN30)</f>
        <v>61</v>
      </c>
      <c r="AP30" s="1135">
        <f>197+21</f>
        <v>218</v>
      </c>
      <c r="AQ30" s="1040">
        <v>53</v>
      </c>
      <c r="AR30" s="1040">
        <v>54</v>
      </c>
      <c r="AS30" s="1040">
        <v>59</v>
      </c>
      <c r="AT30" s="39">
        <f>AU30-SUM(AQ30,AR30,AS30)</f>
        <v>52</v>
      </c>
      <c r="AU30" s="1135">
        <v>218</v>
      </c>
      <c r="AV30" s="1040">
        <v>58</v>
      </c>
      <c r="AW30" s="1040">
        <v>61</v>
      </c>
      <c r="AX30" s="1040">
        <v>72</v>
      </c>
      <c r="AY30" s="39">
        <f>AZ30-SUM(AV30,AW30,AX30)</f>
        <v>61</v>
      </c>
      <c r="AZ30" s="1135">
        <v>252</v>
      </c>
      <c r="BA30" s="1040">
        <v>61</v>
      </c>
      <c r="BB30" s="1040">
        <v>66</v>
      </c>
      <c r="BC30" s="1040">
        <v>66</v>
      </c>
      <c r="BD30" s="39">
        <f>BE30-SUM(BA30,BB30,BC30)</f>
        <v>69</v>
      </c>
      <c r="BE30" s="1135">
        <v>262</v>
      </c>
      <c r="BF30" s="1040">
        <v>58</v>
      </c>
      <c r="BG30" s="1040">
        <v>59</v>
      </c>
      <c r="BH30" s="1044">
        <v>66</v>
      </c>
      <c r="BI30" s="1040">
        <v>60</v>
      </c>
      <c r="BJ30" s="1134">
        <f>SUM(BF30,BG30,BH30,BI30)</f>
        <v>243</v>
      </c>
      <c r="BK30" s="1040">
        <v>53</v>
      </c>
      <c r="BL30" s="1040">
        <v>53</v>
      </c>
      <c r="BM30" s="1040">
        <v>40</v>
      </c>
      <c r="BN30" s="1040">
        <v>60</v>
      </c>
      <c r="BO30" s="1134">
        <f>SUM(BK30,BL30,BM30,BN30)</f>
        <v>206</v>
      </c>
      <c r="BP30" s="1135">
        <v>200</v>
      </c>
      <c r="BQ30" s="1135">
        <v>212</v>
      </c>
      <c r="BR30" s="1135">
        <v>212</v>
      </c>
      <c r="BS30" s="32"/>
    </row>
    <row r="31" spans="1:71" s="673" customFormat="1" ht="15">
      <c r="A31" s="357" t="s">
        <v>37</v>
      </c>
      <c r="B31" s="482"/>
      <c r="C31" s="1136">
        <f t="shared" si="69" ref="C31:AK31">SUM(C27:C30)</f>
        <v>0</v>
      </c>
      <c r="D31" s="1136">
        <f t="shared" si="69"/>
        <v>0</v>
      </c>
      <c r="E31" s="1136">
        <f t="shared" si="69"/>
        <v>2770</v>
      </c>
      <c r="F31" s="1136">
        <f t="shared" si="69"/>
        <v>2949</v>
      </c>
      <c r="G31" s="1136">
        <f t="shared" si="69"/>
        <v>3341</v>
      </c>
      <c r="H31" s="356">
        <f t="shared" si="69"/>
        <v>755</v>
      </c>
      <c r="I31" s="356">
        <f t="shared" si="69"/>
        <v>998</v>
      </c>
      <c r="J31" s="356">
        <f t="shared" si="69"/>
        <v>1242</v>
      </c>
      <c r="K31" s="356">
        <f t="shared" si="69"/>
        <v>1025</v>
      </c>
      <c r="L31" s="1136">
        <f t="shared" si="69"/>
        <v>4020</v>
      </c>
      <c r="M31" s="356">
        <f t="shared" si="69"/>
        <v>926</v>
      </c>
      <c r="N31" s="356">
        <f t="shared" si="69"/>
        <v>1026</v>
      </c>
      <c r="O31" s="356">
        <f t="shared" si="69"/>
        <v>1319</v>
      </c>
      <c r="P31" s="356">
        <f t="shared" si="69"/>
        <v>1056</v>
      </c>
      <c r="Q31" s="1136">
        <f t="shared" si="69"/>
        <v>4327</v>
      </c>
      <c r="R31" s="356">
        <f t="shared" si="69"/>
        <v>979</v>
      </c>
      <c r="S31" s="356">
        <f t="shared" si="69"/>
        <v>1056</v>
      </c>
      <c r="T31" s="356">
        <f t="shared" si="69"/>
        <v>1268</v>
      </c>
      <c r="U31" s="356">
        <f t="shared" si="69"/>
        <v>1083</v>
      </c>
      <c r="V31" s="1136">
        <f t="shared" si="69"/>
        <v>4386</v>
      </c>
      <c r="W31" s="356">
        <f t="shared" si="69"/>
        <v>1027</v>
      </c>
      <c r="X31" s="356">
        <f t="shared" si="69"/>
        <v>1130</v>
      </c>
      <c r="Y31" s="356">
        <f t="shared" si="69"/>
        <v>1433</v>
      </c>
      <c r="Z31" s="356">
        <f t="shared" si="69"/>
        <v>1161</v>
      </c>
      <c r="AA31" s="1136">
        <f t="shared" si="69"/>
        <v>4751</v>
      </c>
      <c r="AB31" s="356">
        <f t="shared" si="69"/>
        <v>1102</v>
      </c>
      <c r="AC31" s="356">
        <f t="shared" si="69"/>
        <v>1257</v>
      </c>
      <c r="AD31" s="356">
        <f t="shared" si="69"/>
        <v>1456</v>
      </c>
      <c r="AE31" s="356">
        <f t="shared" si="69"/>
        <v>1208</v>
      </c>
      <c r="AF31" s="1136">
        <f t="shared" si="69"/>
        <v>5023</v>
      </c>
      <c r="AG31" s="356">
        <f t="shared" si="69"/>
        <v>1147</v>
      </c>
      <c r="AH31" s="356">
        <f t="shared" si="69"/>
        <v>1264</v>
      </c>
      <c r="AI31" s="356">
        <f t="shared" si="69"/>
        <v>1618</v>
      </c>
      <c r="AJ31" s="356">
        <f t="shared" si="69"/>
        <v>1313</v>
      </c>
      <c r="AK31" s="1136">
        <f t="shared" si="69"/>
        <v>5342</v>
      </c>
      <c r="AL31" s="356">
        <f t="shared" si="70" ref="AL31:AQ31">SUM(AL27:AL30)</f>
        <v>1164</v>
      </c>
      <c r="AM31" s="356">
        <f t="shared" si="70"/>
        <v>1131</v>
      </c>
      <c r="AN31" s="356">
        <f t="shared" si="70"/>
        <v>1489</v>
      </c>
      <c r="AO31" s="356">
        <f t="shared" si="70"/>
        <v>1229</v>
      </c>
      <c r="AP31" s="1136">
        <f t="shared" si="70"/>
        <v>5013</v>
      </c>
      <c r="AQ31" s="356">
        <f t="shared" si="70"/>
        <v>1205</v>
      </c>
      <c r="AR31" s="356">
        <f t="shared" si="71" ref="AR31:AW31">SUM(AR27:AR30)</f>
        <v>1369</v>
      </c>
      <c r="AS31" s="356">
        <f t="shared" si="71"/>
        <v>1729</v>
      </c>
      <c r="AT31" s="356">
        <f t="shared" si="71"/>
        <v>1270</v>
      </c>
      <c r="AU31" s="1136">
        <f t="shared" si="71"/>
        <v>5573</v>
      </c>
      <c r="AV31" s="356">
        <f t="shared" si="71"/>
        <v>1368</v>
      </c>
      <c r="AW31" s="356">
        <f t="shared" si="71"/>
        <v>1516</v>
      </c>
      <c r="AX31" s="356">
        <f t="shared" si="72" ref="AX31:BJ31">SUM(AX27:AX30)</f>
        <v>1984</v>
      </c>
      <c r="AY31" s="356">
        <f t="shared" si="72"/>
        <v>1338</v>
      </c>
      <c r="AZ31" s="1136">
        <f t="shared" si="72"/>
        <v>6206</v>
      </c>
      <c r="BA31" s="356">
        <f t="shared" si="73" ref="BA31:BI31">SUM(BA27:BA30)</f>
        <v>1519</v>
      </c>
      <c r="BB31" s="356">
        <f t="shared" si="73"/>
        <v>1667</v>
      </c>
      <c r="BC31" s="356">
        <f t="shared" si="73"/>
        <v>2061</v>
      </c>
      <c r="BD31" s="356">
        <f t="shared" si="73"/>
        <v>1445</v>
      </c>
      <c r="BE31" s="1141">
        <f t="shared" si="73"/>
        <v>6692</v>
      </c>
      <c r="BF31" s="356">
        <f>SUM(BF27:BF30)</f>
        <v>1634</v>
      </c>
      <c r="BG31" s="356">
        <f>SUM(BG27:BG30)</f>
        <v>1692</v>
      </c>
      <c r="BH31" s="873">
        <f>SUM(BH27:BH30)</f>
        <v>2353</v>
      </c>
      <c r="BI31" s="513">
        <f t="shared" si="73"/>
        <v>1603.7119999999998</v>
      </c>
      <c r="BJ31" s="1137">
        <f t="shared" si="72"/>
        <v>7282.7119999999995</v>
      </c>
      <c r="BK31" s="513">
        <f t="shared" si="74" ref="BK31:BR31">SUM(BK27:BK30)</f>
        <v>1777.6705000000002</v>
      </c>
      <c r="BL31" s="513">
        <f t="shared" si="74"/>
        <v>1809.535</v>
      </c>
      <c r="BM31" s="513">
        <f t="shared" si="74"/>
        <v>1989.1044999999999</v>
      </c>
      <c r="BN31" s="513">
        <f t="shared" si="74"/>
        <v>1801.8745599999995</v>
      </c>
      <c r="BO31" s="1137">
        <f t="shared" si="74"/>
        <v>7378.1845600000006</v>
      </c>
      <c r="BP31" s="1137">
        <f t="shared" si="74"/>
        <v>8309.8369227500007</v>
      </c>
      <c r="BQ31" s="1137">
        <f t="shared" si="74"/>
        <v>10844.806150369999</v>
      </c>
      <c r="BR31" s="1137">
        <f t="shared" si="74"/>
        <v>11405.720424024799</v>
      </c>
      <c r="BS31" s="32"/>
    </row>
    <row r="32" spans="1:71" s="674" customFormat="1" ht="15">
      <c r="A32" s="100" t="s">
        <v>38</v>
      </c>
      <c r="B32" s="483"/>
      <c r="C32" s="1138">
        <f t="shared" si="75" ref="C32:AK32">SUM(C31:C31)</f>
        <v>0</v>
      </c>
      <c r="D32" s="1138">
        <f t="shared" si="75"/>
        <v>0</v>
      </c>
      <c r="E32" s="1138">
        <f t="shared" si="75"/>
        <v>2770</v>
      </c>
      <c r="F32" s="1138">
        <f t="shared" si="75"/>
        <v>2949</v>
      </c>
      <c r="G32" s="1138">
        <f t="shared" si="75"/>
        <v>3341</v>
      </c>
      <c r="H32" s="96">
        <f t="shared" si="75"/>
        <v>755</v>
      </c>
      <c r="I32" s="96">
        <f t="shared" si="75"/>
        <v>998</v>
      </c>
      <c r="J32" s="96">
        <f t="shared" si="75"/>
        <v>1242</v>
      </c>
      <c r="K32" s="96">
        <f t="shared" si="75"/>
        <v>1025</v>
      </c>
      <c r="L32" s="1138">
        <f t="shared" si="75"/>
        <v>4020</v>
      </c>
      <c r="M32" s="96">
        <f t="shared" si="75"/>
        <v>926</v>
      </c>
      <c r="N32" s="96">
        <f t="shared" si="75"/>
        <v>1026</v>
      </c>
      <c r="O32" s="96">
        <f t="shared" si="75"/>
        <v>1319</v>
      </c>
      <c r="P32" s="96">
        <f t="shared" si="75"/>
        <v>1056</v>
      </c>
      <c r="Q32" s="1138">
        <f t="shared" si="75"/>
        <v>4327</v>
      </c>
      <c r="R32" s="96">
        <f t="shared" si="75"/>
        <v>979</v>
      </c>
      <c r="S32" s="96">
        <f t="shared" si="75"/>
        <v>1056</v>
      </c>
      <c r="T32" s="96">
        <f t="shared" si="75"/>
        <v>1268</v>
      </c>
      <c r="U32" s="96">
        <f t="shared" si="75"/>
        <v>1083</v>
      </c>
      <c r="V32" s="1138">
        <f t="shared" si="75"/>
        <v>4386</v>
      </c>
      <c r="W32" s="96">
        <f t="shared" si="75"/>
        <v>1027</v>
      </c>
      <c r="X32" s="96">
        <f t="shared" si="75"/>
        <v>1130</v>
      </c>
      <c r="Y32" s="96">
        <f t="shared" si="75"/>
        <v>1433</v>
      </c>
      <c r="Z32" s="96">
        <f t="shared" si="75"/>
        <v>1161</v>
      </c>
      <c r="AA32" s="1138">
        <f t="shared" si="75"/>
        <v>4751</v>
      </c>
      <c r="AB32" s="96">
        <f t="shared" si="75"/>
        <v>1102</v>
      </c>
      <c r="AC32" s="96">
        <f t="shared" si="75"/>
        <v>1257</v>
      </c>
      <c r="AD32" s="96">
        <f t="shared" si="75"/>
        <v>1456</v>
      </c>
      <c r="AE32" s="96">
        <f t="shared" si="75"/>
        <v>1208</v>
      </c>
      <c r="AF32" s="1138">
        <f t="shared" si="75"/>
        <v>5023</v>
      </c>
      <c r="AG32" s="96">
        <f t="shared" si="75"/>
        <v>1147</v>
      </c>
      <c r="AH32" s="96">
        <f t="shared" si="75"/>
        <v>1264</v>
      </c>
      <c r="AI32" s="96">
        <f t="shared" si="75"/>
        <v>1618</v>
      </c>
      <c r="AJ32" s="96">
        <f t="shared" si="75"/>
        <v>1313</v>
      </c>
      <c r="AK32" s="1138">
        <f t="shared" si="75"/>
        <v>5342</v>
      </c>
      <c r="AL32" s="96">
        <f t="shared" si="76" ref="AL32:AQ32">SUM(AL31:AL31)</f>
        <v>1164</v>
      </c>
      <c r="AM32" s="96">
        <f t="shared" si="76"/>
        <v>1131</v>
      </c>
      <c r="AN32" s="96">
        <f t="shared" si="76"/>
        <v>1489</v>
      </c>
      <c r="AO32" s="96">
        <f t="shared" si="76"/>
        <v>1229</v>
      </c>
      <c r="AP32" s="1138">
        <f t="shared" si="76"/>
        <v>5013</v>
      </c>
      <c r="AQ32" s="96">
        <f t="shared" si="76"/>
        <v>1205</v>
      </c>
      <c r="AR32" s="96">
        <f t="shared" si="77" ref="AR32:AW32">SUM(AR31:AR31)</f>
        <v>1369</v>
      </c>
      <c r="AS32" s="96">
        <f t="shared" si="77"/>
        <v>1729</v>
      </c>
      <c r="AT32" s="96">
        <f t="shared" si="77"/>
        <v>1270</v>
      </c>
      <c r="AU32" s="1138">
        <f t="shared" si="77"/>
        <v>5573</v>
      </c>
      <c r="AV32" s="96">
        <f t="shared" si="77"/>
        <v>1368</v>
      </c>
      <c r="AW32" s="96">
        <f t="shared" si="77"/>
        <v>1516</v>
      </c>
      <c r="AX32" s="96">
        <f t="shared" si="78" ref="AX32:BJ32">SUM(AX31:AX31)</f>
        <v>1984</v>
      </c>
      <c r="AY32" s="96">
        <f t="shared" si="78"/>
        <v>1338</v>
      </c>
      <c r="AZ32" s="1138">
        <f t="shared" si="78"/>
        <v>6206</v>
      </c>
      <c r="BA32" s="96">
        <f t="shared" si="79" ref="BA32:BI32">SUM(BA31:BA31)</f>
        <v>1519</v>
      </c>
      <c r="BB32" s="96">
        <f t="shared" si="79"/>
        <v>1667</v>
      </c>
      <c r="BC32" s="96">
        <f t="shared" si="79"/>
        <v>2061</v>
      </c>
      <c r="BD32" s="96">
        <f t="shared" si="79"/>
        <v>1445</v>
      </c>
      <c r="BE32" s="1138">
        <f t="shared" si="79"/>
        <v>6692</v>
      </c>
      <c r="BF32" s="96">
        <f>SUM(BF31:BF31)</f>
        <v>1634</v>
      </c>
      <c r="BG32" s="96">
        <f>SUM(BG31:BG31)</f>
        <v>1692</v>
      </c>
      <c r="BH32" s="874">
        <f>SUM(BH31:BH31)</f>
        <v>2353</v>
      </c>
      <c r="BI32" s="596">
        <f t="shared" si="79"/>
        <v>1603.7119999999998</v>
      </c>
      <c r="BJ32" s="1139">
        <f t="shared" si="78"/>
        <v>7282.7119999999995</v>
      </c>
      <c r="BK32" s="596">
        <f t="shared" si="80" ref="BK32:BR32">SUM(BK31:BK31)</f>
        <v>1777.6705000000002</v>
      </c>
      <c r="BL32" s="596">
        <f t="shared" si="80"/>
        <v>1809.535</v>
      </c>
      <c r="BM32" s="596">
        <f t="shared" si="80"/>
        <v>1989.1044999999999</v>
      </c>
      <c r="BN32" s="596">
        <f t="shared" si="80"/>
        <v>1801.8745599999995</v>
      </c>
      <c r="BO32" s="1139">
        <f t="shared" si="80"/>
        <v>7378.1845600000006</v>
      </c>
      <c r="BP32" s="1139">
        <f t="shared" si="80"/>
        <v>8309.8369227500007</v>
      </c>
      <c r="BQ32" s="1139">
        <f t="shared" si="80"/>
        <v>10844.806150369999</v>
      </c>
      <c r="BR32" s="1139">
        <f t="shared" si="80"/>
        <v>11405.720424024799</v>
      </c>
      <c r="BS32" s="37"/>
    </row>
    <row r="33" spans="1:71" s="674" customFormat="1" ht="15">
      <c r="A33" s="485"/>
      <c r="B33" s="486"/>
      <c r="C33" s="1147"/>
      <c r="D33" s="1147"/>
      <c r="E33" s="1147"/>
      <c r="F33" s="1147"/>
      <c r="G33" s="1147"/>
      <c r="H33" s="426"/>
      <c r="I33" s="426"/>
      <c r="J33" s="426"/>
      <c r="K33" s="426"/>
      <c r="L33" s="1147"/>
      <c r="M33" s="426"/>
      <c r="N33" s="426"/>
      <c r="O33" s="426"/>
      <c r="P33" s="426"/>
      <c r="Q33" s="1147"/>
      <c r="R33" s="426"/>
      <c r="S33" s="426"/>
      <c r="T33" s="426"/>
      <c r="U33" s="426"/>
      <c r="V33" s="1147"/>
      <c r="W33" s="426"/>
      <c r="X33" s="426"/>
      <c r="Y33" s="426"/>
      <c r="Z33" s="426"/>
      <c r="AA33" s="1147"/>
      <c r="AB33" s="426"/>
      <c r="AC33" s="426"/>
      <c r="AD33" s="426"/>
      <c r="AE33" s="426"/>
      <c r="AF33" s="1147"/>
      <c r="AG33" s="426"/>
      <c r="AH33" s="426"/>
      <c r="AI33" s="426"/>
      <c r="AJ33" s="426"/>
      <c r="AK33" s="1147"/>
      <c r="AL33" s="426"/>
      <c r="AM33" s="426"/>
      <c r="AN33" s="426"/>
      <c r="AO33" s="426"/>
      <c r="AP33" s="1147"/>
      <c r="AQ33" s="426"/>
      <c r="AR33" s="426"/>
      <c r="AS33" s="426"/>
      <c r="AT33" s="426"/>
      <c r="AU33" s="1147"/>
      <c r="AV33" s="426"/>
      <c r="AW33" s="426"/>
      <c r="AX33" s="426"/>
      <c r="AY33" s="426"/>
      <c r="AZ33" s="1147"/>
      <c r="BA33" s="426"/>
      <c r="BB33" s="426"/>
      <c r="BC33" s="426"/>
      <c r="BD33" s="426"/>
      <c r="BE33" s="1147"/>
      <c r="BF33" s="426"/>
      <c r="BG33" s="426"/>
      <c r="BH33" s="487"/>
      <c r="BI33" s="159"/>
      <c r="BJ33" s="1148"/>
      <c r="BK33" s="159"/>
      <c r="BL33" s="159"/>
      <c r="BM33" s="159"/>
      <c r="BN33" s="159"/>
      <c r="BO33" s="1148"/>
      <c r="BP33" s="1147"/>
      <c r="BQ33" s="1147"/>
      <c r="BR33" s="1148"/>
      <c r="BS33" s="37"/>
    </row>
    <row r="34" spans="1:71" s="674" customFormat="1" ht="15" hidden="1" outlineLevel="1">
      <c r="A34" s="101" t="s">
        <v>470</v>
      </c>
      <c r="B34" s="486"/>
      <c r="C34" s="1147"/>
      <c r="D34" s="1147"/>
      <c r="E34" s="1147"/>
      <c r="F34" s="1147"/>
      <c r="G34" s="1147"/>
      <c r="H34" s="426"/>
      <c r="I34" s="426"/>
      <c r="J34" s="426"/>
      <c r="K34" s="426"/>
      <c r="L34" s="1147"/>
      <c r="M34" s="426"/>
      <c r="N34" s="426"/>
      <c r="O34" s="426"/>
      <c r="P34" s="426"/>
      <c r="Q34" s="1147"/>
      <c r="R34" s="426"/>
      <c r="S34" s="426"/>
      <c r="T34" s="426"/>
      <c r="U34" s="426"/>
      <c r="V34" s="1147"/>
      <c r="W34" s="426"/>
      <c r="X34" s="426"/>
      <c r="Y34" s="426"/>
      <c r="Z34" s="426"/>
      <c r="AA34" s="1147"/>
      <c r="AB34" s="426"/>
      <c r="AC34" s="426"/>
      <c r="AD34" s="426"/>
      <c r="AE34" s="426"/>
      <c r="AF34" s="1147"/>
      <c r="AG34" s="426"/>
      <c r="AH34" s="426"/>
      <c r="AI34" s="426"/>
      <c r="AJ34" s="426"/>
      <c r="AK34" s="1147"/>
      <c r="AL34" s="426"/>
      <c r="AM34" s="426"/>
      <c r="AN34" s="426"/>
      <c r="AO34" s="426"/>
      <c r="AP34" s="1147"/>
      <c r="AQ34" s="426"/>
      <c r="AR34" s="426"/>
      <c r="AS34" s="426"/>
      <c r="AT34" s="426"/>
      <c r="AU34" s="1147"/>
      <c r="AV34" s="426"/>
      <c r="AW34" s="426"/>
      <c r="AX34" s="426"/>
      <c r="AY34" s="426"/>
      <c r="AZ34" s="1147"/>
      <c r="BA34" s="426"/>
      <c r="BB34" s="426"/>
      <c r="BC34" s="426"/>
      <c r="BD34" s="426"/>
      <c r="BE34" s="1147"/>
      <c r="BF34" s="426"/>
      <c r="BG34" s="426"/>
      <c r="BH34" s="487"/>
      <c r="BI34" s="159">
        <f>BI41/BI97</f>
        <v>2103.6909830928398</v>
      </c>
      <c r="BJ34" s="1148">
        <f t="shared" si="81" ref="BJ34">BJ41/BJ97</f>
        <v>9856.0053127098545</v>
      </c>
      <c r="BK34" s="159">
        <f t="shared" si="82" ref="BK34:BR34">BK41/BK97</f>
        <v>1999.138611978424</v>
      </c>
      <c r="BL34" s="159">
        <f t="shared" si="82"/>
        <v>2265.6909031607925</v>
      </c>
      <c r="BM34" s="159">
        <f t="shared" si="82"/>
        <v>3366.4368598386754</v>
      </c>
      <c r="BN34" s="159">
        <f t="shared" si="82"/>
        <v>2307.772392471612</v>
      </c>
      <c r="BO34" s="1148">
        <f t="shared" si="82"/>
        <v>9945.0674703285604</v>
      </c>
      <c r="BP34" s="1147">
        <f t="shared" si="82"/>
        <v>10341.528463791487</v>
      </c>
      <c r="BQ34" s="1147">
        <f t="shared" si="82"/>
        <v>10818.121883667614</v>
      </c>
      <c r="BR34" s="1148">
        <f t="shared" si="82"/>
        <v>11410.198212082771</v>
      </c>
      <c r="BS34" s="37"/>
    </row>
    <row r="35" spans="1:71" s="674" customFormat="1" ht="15" hidden="1" outlineLevel="1">
      <c r="A35" s="101" t="s">
        <v>471</v>
      </c>
      <c r="B35" s="486"/>
      <c r="C35" s="1147"/>
      <c r="D35" s="1147"/>
      <c r="E35" s="1147"/>
      <c r="F35" s="1147"/>
      <c r="G35" s="1147"/>
      <c r="H35" s="426"/>
      <c r="I35" s="426"/>
      <c r="J35" s="426"/>
      <c r="K35" s="426"/>
      <c r="L35" s="1147"/>
      <c r="M35" s="426"/>
      <c r="N35" s="426"/>
      <c r="O35" s="426"/>
      <c r="P35" s="426"/>
      <c r="Q35" s="1147"/>
      <c r="R35" s="426"/>
      <c r="S35" s="426"/>
      <c r="T35" s="426"/>
      <c r="U35" s="426"/>
      <c r="V35" s="1147"/>
      <c r="W35" s="426"/>
      <c r="X35" s="426"/>
      <c r="Y35" s="426"/>
      <c r="Z35" s="426"/>
      <c r="AA35" s="1147"/>
      <c r="AB35" s="426"/>
      <c r="AC35" s="426"/>
      <c r="AD35" s="426"/>
      <c r="AE35" s="426"/>
      <c r="AF35" s="1147"/>
      <c r="AG35" s="426"/>
      <c r="AH35" s="426"/>
      <c r="AI35" s="426"/>
      <c r="AJ35" s="426"/>
      <c r="AK35" s="1147"/>
      <c r="AL35" s="426"/>
      <c r="AM35" s="426"/>
      <c r="AN35" s="426"/>
      <c r="AO35" s="426"/>
      <c r="AP35" s="1147"/>
      <c r="AQ35" s="426"/>
      <c r="AR35" s="426"/>
      <c r="AS35" s="426"/>
      <c r="AT35" s="426"/>
      <c r="AU35" s="1147"/>
      <c r="AV35" s="426"/>
      <c r="AW35" s="426"/>
      <c r="AX35" s="426"/>
      <c r="AY35" s="426"/>
      <c r="AZ35" s="1147"/>
      <c r="BA35" s="426"/>
      <c r="BB35" s="426"/>
      <c r="BC35" s="426"/>
      <c r="BD35" s="426"/>
      <c r="BE35" s="1147"/>
      <c r="BF35" s="426"/>
      <c r="BG35" s="426"/>
      <c r="BH35" s="487"/>
      <c r="BI35" s="159">
        <f>(BI34-BI41)</f>
        <v>670.42738309284005</v>
      </c>
      <c r="BJ35" s="1148">
        <f>SUM(BF35,BG35,BH35,BI35)</f>
        <v>670.42738309284005</v>
      </c>
      <c r="BK35" s="159">
        <f>(BK34-BK41)</f>
        <v>464.40589697842393</v>
      </c>
      <c r="BL35" s="159">
        <f>(BL34-BL41)</f>
        <v>716.59045316079232</v>
      </c>
      <c r="BM35" s="159">
        <f>(BM34-BM41)</f>
        <v>1664.9083798386753</v>
      </c>
      <c r="BN35" s="159">
        <f>(BN34-BN41)</f>
        <v>742.44268747161232</v>
      </c>
      <c r="BO35" s="1148">
        <f>SUM(BK35,BL35,BM35,BN35)</f>
        <v>3588.3474174495036</v>
      </c>
      <c r="BP35" s="1147">
        <f>(BP34-BP41)</f>
        <v>3165.1385431564868</v>
      </c>
      <c r="BQ35" s="1147">
        <f>(BQ34-BQ41)</f>
        <v>1505.8933843284158</v>
      </c>
      <c r="BR35" s="1148">
        <f>(BR34-BR41)</f>
        <v>1599.0708182341277</v>
      </c>
      <c r="BS35" s="37"/>
    </row>
    <row r="36" spans="1:71" s="673" customFormat="1" ht="15" collapsed="1">
      <c r="A36" s="162" t="s">
        <v>39</v>
      </c>
      <c r="B36" s="480"/>
      <c r="C36" s="1131"/>
      <c r="D36" s="1131"/>
      <c r="E36" s="1132">
        <v>1412</v>
      </c>
      <c r="F36" s="1132">
        <v>1423</v>
      </c>
      <c r="G36" s="1132">
        <v>1521</v>
      </c>
      <c r="H36" s="1037">
        <v>301</v>
      </c>
      <c r="I36" s="1037">
        <v>324</v>
      </c>
      <c r="J36" s="1037">
        <v>504</v>
      </c>
      <c r="K36" s="1037">
        <v>415</v>
      </c>
      <c r="L36" s="1132">
        <v>1544</v>
      </c>
      <c r="M36" s="1037">
        <v>313</v>
      </c>
      <c r="N36" s="1037">
        <v>327</v>
      </c>
      <c r="O36" s="1037">
        <v>517</v>
      </c>
      <c r="P36" s="1037">
        <v>442</v>
      </c>
      <c r="Q36" s="1132">
        <v>1599</v>
      </c>
      <c r="R36" s="1037">
        <v>339</v>
      </c>
      <c r="S36" s="1037">
        <v>365</v>
      </c>
      <c r="T36" s="1037">
        <v>493</v>
      </c>
      <c r="U36" s="1037">
        <v>465</v>
      </c>
      <c r="V36" s="1132">
        <v>1662</v>
      </c>
      <c r="W36" s="1037">
        <v>342</v>
      </c>
      <c r="X36" s="1037">
        <v>357</v>
      </c>
      <c r="Y36" s="1037">
        <v>527</v>
      </c>
      <c r="Z36" s="1037">
        <v>485</v>
      </c>
      <c r="AA36" s="1132">
        <v>1711</v>
      </c>
      <c r="AB36" s="1037">
        <v>350</v>
      </c>
      <c r="AC36" s="1037">
        <v>374</v>
      </c>
      <c r="AD36" s="1037">
        <v>526</v>
      </c>
      <c r="AE36" s="1037">
        <v>479</v>
      </c>
      <c r="AF36" s="1132">
        <v>1729</v>
      </c>
      <c r="AG36" s="1037">
        <v>361</v>
      </c>
      <c r="AH36" s="1037">
        <v>379</v>
      </c>
      <c r="AI36" s="1037">
        <v>583</v>
      </c>
      <c r="AJ36" s="1037">
        <v>505</v>
      </c>
      <c r="AK36" s="1132">
        <v>1828</v>
      </c>
      <c r="AL36" s="1037">
        <v>386</v>
      </c>
      <c r="AM36" s="1037">
        <v>390</v>
      </c>
      <c r="AN36" s="1037">
        <v>574</v>
      </c>
      <c r="AO36" s="288">
        <f>AP36-SUM(AL36,AM36,AN36)</f>
        <v>521</v>
      </c>
      <c r="AP36" s="1132">
        <v>1871</v>
      </c>
      <c r="AQ36" s="1037">
        <v>394</v>
      </c>
      <c r="AR36" s="1037">
        <v>453</v>
      </c>
      <c r="AS36" s="1037">
        <v>700</v>
      </c>
      <c r="AT36" s="288">
        <f>AU36-SUM(AQ36,AR36,AS36)</f>
        <v>597</v>
      </c>
      <c r="AU36" s="1132">
        <v>2144</v>
      </c>
      <c r="AV36" s="1037">
        <v>443</v>
      </c>
      <c r="AW36" s="1037">
        <v>505</v>
      </c>
      <c r="AX36" s="1037">
        <v>857</v>
      </c>
      <c r="AY36" s="288">
        <f>AZ36-SUM(AV36,AW36,AX36)</f>
        <v>682</v>
      </c>
      <c r="AZ36" s="1132">
        <v>2487</v>
      </c>
      <c r="BA36" s="1037">
        <v>475</v>
      </c>
      <c r="BB36" s="1037">
        <v>534</v>
      </c>
      <c r="BC36" s="1037">
        <v>828</v>
      </c>
      <c r="BD36" s="288">
        <f>BE36-SUM(BA36,BB36,BC36)</f>
        <v>682</v>
      </c>
      <c r="BE36" s="1132">
        <v>2519</v>
      </c>
      <c r="BF36" s="1037">
        <v>513</v>
      </c>
      <c r="BG36" s="1037">
        <v>543</v>
      </c>
      <c r="BH36" s="1038">
        <v>981</v>
      </c>
      <c r="BI36" s="171">
        <f t="shared" si="83" ref="BI36:BI39">BI27*BI99</f>
        <v>487.55979999999994</v>
      </c>
      <c r="BJ36" s="1133">
        <f>SUM(BF36,BG36,BH36,BI36)</f>
        <v>2524.5598</v>
      </c>
      <c r="BK36" s="171">
        <f t="shared" si="84" ref="BK36:BN39">BK27*BK99</f>
        <v>554.19171500000004</v>
      </c>
      <c r="BL36" s="171">
        <f t="shared" si="84"/>
        <v>659.39720000000011</v>
      </c>
      <c r="BM36" s="171">
        <f t="shared" si="84"/>
        <v>734.05772999999999</v>
      </c>
      <c r="BN36" s="171">
        <f t="shared" si="84"/>
        <v>506.09841099999994</v>
      </c>
      <c r="BO36" s="1133">
        <f>SUM(BK36,BL36,BM36,BN36)</f>
        <v>2453.7450560000002</v>
      </c>
      <c r="BP36" s="1131">
        <f t="shared" si="85" ref="BP36:BR39">BP27*BP99</f>
        <v>2529.0775947599996</v>
      </c>
      <c r="BQ36" s="1131">
        <f t="shared" si="85"/>
        <v>3654.5171244281992</v>
      </c>
      <c r="BR36" s="1133">
        <f t="shared" si="85"/>
        <v>3727.6074669167633</v>
      </c>
      <c r="BS36" s="32"/>
    </row>
    <row r="37" spans="1:71" s="673" customFormat="1" ht="15">
      <c r="A37" s="162" t="s">
        <v>40</v>
      </c>
      <c r="B37" s="480"/>
      <c r="C37" s="1131"/>
      <c r="D37" s="1131"/>
      <c r="E37" s="1132">
        <v>872</v>
      </c>
      <c r="F37" s="1132">
        <v>948</v>
      </c>
      <c r="G37" s="1132">
        <v>1135</v>
      </c>
      <c r="H37" s="1037">
        <v>313</v>
      </c>
      <c r="I37" s="1037">
        <v>467</v>
      </c>
      <c r="J37" s="1037">
        <v>486</v>
      </c>
      <c r="K37" s="1037">
        <v>499</v>
      </c>
      <c r="L37" s="1132">
        <v>1765</v>
      </c>
      <c r="M37" s="1037">
        <v>490</v>
      </c>
      <c r="N37" s="1037">
        <v>503</v>
      </c>
      <c r="O37" s="1037">
        <v>503</v>
      </c>
      <c r="P37" s="1037">
        <v>515</v>
      </c>
      <c r="Q37" s="1132">
        <v>2011</v>
      </c>
      <c r="R37" s="1037">
        <v>502</v>
      </c>
      <c r="S37" s="1037">
        <v>497</v>
      </c>
      <c r="T37" s="1037">
        <v>497</v>
      </c>
      <c r="U37" s="1037">
        <v>510</v>
      </c>
      <c r="V37" s="1132">
        <v>2006</v>
      </c>
      <c r="W37" s="1037">
        <v>508</v>
      </c>
      <c r="X37" s="1037">
        <v>537</v>
      </c>
      <c r="Y37" s="1037">
        <v>568</v>
      </c>
      <c r="Z37" s="1037">
        <v>573</v>
      </c>
      <c r="AA37" s="1132">
        <v>2186</v>
      </c>
      <c r="AB37" s="1037">
        <v>579</v>
      </c>
      <c r="AC37" s="1037">
        <v>595</v>
      </c>
      <c r="AD37" s="1037">
        <v>616</v>
      </c>
      <c r="AE37" s="1037">
        <v>613</v>
      </c>
      <c r="AF37" s="1132">
        <v>2403</v>
      </c>
      <c r="AG37" s="1037">
        <v>629</v>
      </c>
      <c r="AH37" s="1037">
        <v>634</v>
      </c>
      <c r="AI37" s="1037">
        <v>658</v>
      </c>
      <c r="AJ37" s="1037">
        <v>676</v>
      </c>
      <c r="AK37" s="1132">
        <v>2597</v>
      </c>
      <c r="AL37" s="1037">
        <v>556</v>
      </c>
      <c r="AM37" s="1037">
        <v>547</v>
      </c>
      <c r="AN37" s="1037">
        <v>560</v>
      </c>
      <c r="AO37" s="288">
        <f>AP37-SUM(AL37,AM37,AN37)</f>
        <v>572</v>
      </c>
      <c r="AP37" s="1132">
        <v>2235</v>
      </c>
      <c r="AQ37" s="1037">
        <v>571</v>
      </c>
      <c r="AR37" s="1037">
        <v>588</v>
      </c>
      <c r="AS37" s="1037">
        <v>613</v>
      </c>
      <c r="AT37" s="288">
        <f>AU37-SUM(AQ37,AR37,AS37)</f>
        <v>636</v>
      </c>
      <c r="AU37" s="1132">
        <v>2408</v>
      </c>
      <c r="AV37" s="1037">
        <v>639</v>
      </c>
      <c r="AW37" s="1037">
        <v>657</v>
      </c>
      <c r="AX37" s="1037">
        <v>677</v>
      </c>
      <c r="AY37" s="288">
        <f>AZ37-SUM(AV37,AW37,AX37)</f>
        <v>686</v>
      </c>
      <c r="AZ37" s="1132">
        <v>2659</v>
      </c>
      <c r="BA37" s="1037">
        <v>704</v>
      </c>
      <c r="BB37" s="1037">
        <v>711</v>
      </c>
      <c r="BC37" s="1037">
        <v>734</v>
      </c>
      <c r="BD37" s="288">
        <f>BE37-SUM(BA37,BB37,BC37)</f>
        <v>737</v>
      </c>
      <c r="BE37" s="1132">
        <v>2886</v>
      </c>
      <c r="BF37" s="1037">
        <v>730</v>
      </c>
      <c r="BG37" s="1037">
        <v>739</v>
      </c>
      <c r="BH37" s="1038">
        <v>744</v>
      </c>
      <c r="BI37" s="171">
        <f t="shared" si="83"/>
        <v>652.3037999999998</v>
      </c>
      <c r="BJ37" s="1133">
        <f>SUM(BF37,BG37,BH37,BI37)</f>
        <v>2865.3037999999997</v>
      </c>
      <c r="BK37" s="171">
        <f t="shared" si="84"/>
        <v>704.93220000000008</v>
      </c>
      <c r="BL37" s="171">
        <f t="shared" si="84"/>
        <v>607.66200000000003</v>
      </c>
      <c r="BM37" s="171">
        <f t="shared" si="84"/>
        <v>674.11575000000016</v>
      </c>
      <c r="BN37" s="171">
        <f t="shared" si="84"/>
        <v>737.10329399999978</v>
      </c>
      <c r="BO37" s="1133">
        <f>SUM(BK37,BL37,BM37,BN37)</f>
        <v>2723.8132439999999</v>
      </c>
      <c r="BP37" s="1131">
        <f t="shared" si="85"/>
        <v>3523.264360875</v>
      </c>
      <c r="BQ37" s="1131">
        <f t="shared" si="85"/>
        <v>4312.4755777109995</v>
      </c>
      <c r="BR37" s="1133">
        <f t="shared" si="85"/>
        <v>4657.47362392788</v>
      </c>
      <c r="BS37" s="32"/>
    </row>
    <row r="38" spans="1:71" s="673" customFormat="1" ht="15">
      <c r="A38" s="162" t="s">
        <v>41</v>
      </c>
      <c r="B38" s="133"/>
      <c r="C38" s="1144"/>
      <c r="D38" s="1144"/>
      <c r="E38" s="1145">
        <v>408</v>
      </c>
      <c r="F38" s="1145">
        <v>405</v>
      </c>
      <c r="G38" s="1145">
        <v>469</v>
      </c>
      <c r="H38" s="1042">
        <v>117</v>
      </c>
      <c r="I38" s="1042">
        <v>116</v>
      </c>
      <c r="J38" s="1042">
        <v>115</v>
      </c>
      <c r="K38" s="1042">
        <v>121</v>
      </c>
      <c r="L38" s="1145">
        <v>469</v>
      </c>
      <c r="M38" s="1042">
        <v>120</v>
      </c>
      <c r="N38" s="1042">
        <v>129</v>
      </c>
      <c r="O38" s="1042">
        <v>131</v>
      </c>
      <c r="P38" s="1042">
        <v>137</v>
      </c>
      <c r="Q38" s="1145">
        <v>517</v>
      </c>
      <c r="R38" s="1042">
        <v>132</v>
      </c>
      <c r="S38" s="1042">
        <v>139</v>
      </c>
      <c r="T38" s="1042">
        <v>145</v>
      </c>
      <c r="U38" s="1042">
        <v>141</v>
      </c>
      <c r="V38" s="1145">
        <v>557</v>
      </c>
      <c r="W38" s="1042">
        <v>147</v>
      </c>
      <c r="X38" s="1042">
        <v>146</v>
      </c>
      <c r="Y38" s="1042">
        <v>142</v>
      </c>
      <c r="Z38" s="1042">
        <v>141</v>
      </c>
      <c r="AA38" s="1145">
        <v>576</v>
      </c>
      <c r="AB38" s="1042">
        <v>149</v>
      </c>
      <c r="AC38" s="1042">
        <v>159</v>
      </c>
      <c r="AD38" s="1042">
        <v>149</v>
      </c>
      <c r="AE38" s="1042">
        <v>141</v>
      </c>
      <c r="AF38" s="1145">
        <v>598</v>
      </c>
      <c r="AG38" s="1042">
        <v>146</v>
      </c>
      <c r="AH38" s="1042">
        <v>151</v>
      </c>
      <c r="AI38" s="1042">
        <v>161</v>
      </c>
      <c r="AJ38" s="1042">
        <v>152</v>
      </c>
      <c r="AK38" s="1145">
        <v>610</v>
      </c>
      <c r="AL38" s="1042">
        <v>156</v>
      </c>
      <c r="AM38" s="1042">
        <v>144</v>
      </c>
      <c r="AN38" s="1042">
        <v>155</v>
      </c>
      <c r="AO38" s="310">
        <f>AP38-SUM(AL38,AM38,AN38)</f>
        <v>158</v>
      </c>
      <c r="AP38" s="1145">
        <v>613</v>
      </c>
      <c r="AQ38" s="1042">
        <v>157</v>
      </c>
      <c r="AR38" s="1042">
        <v>157</v>
      </c>
      <c r="AS38" s="1042">
        <v>163</v>
      </c>
      <c r="AT38" s="310">
        <f>AU38-SUM(AQ38,AR38,AS38)</f>
        <v>165</v>
      </c>
      <c r="AU38" s="1145">
        <v>642</v>
      </c>
      <c r="AV38" s="1042">
        <v>163</v>
      </c>
      <c r="AW38" s="1042">
        <v>171</v>
      </c>
      <c r="AX38" s="1042">
        <v>171</v>
      </c>
      <c r="AY38" s="310">
        <f>AZ38-SUM(AV38,AW38,AX38)</f>
        <v>193</v>
      </c>
      <c r="AZ38" s="1145">
        <v>698</v>
      </c>
      <c r="BA38" s="1042">
        <v>196</v>
      </c>
      <c r="BB38" s="1042">
        <v>195</v>
      </c>
      <c r="BC38" s="1042">
        <v>232</v>
      </c>
      <c r="BD38" s="310">
        <f>BE38-SUM(BA38,BB38,BC38)</f>
        <v>244</v>
      </c>
      <c r="BE38" s="1145">
        <v>867</v>
      </c>
      <c r="BF38" s="1042">
        <v>243</v>
      </c>
      <c r="BG38" s="1042">
        <v>241</v>
      </c>
      <c r="BH38" s="1043">
        <v>269</v>
      </c>
      <c r="BI38" s="754">
        <f t="shared" si="83"/>
        <v>239.40000000000003</v>
      </c>
      <c r="BJ38" s="1146">
        <f>SUM(BF38,BG38,BH38,BI38)</f>
        <v>992.40000000000009</v>
      </c>
      <c r="BK38" s="754">
        <f t="shared" si="84"/>
        <v>227.90879999999999</v>
      </c>
      <c r="BL38" s="754">
        <f t="shared" si="84"/>
        <v>234.34125</v>
      </c>
      <c r="BM38" s="754">
        <f t="shared" si="84"/>
        <v>257.35499999999996</v>
      </c>
      <c r="BN38" s="754">
        <f t="shared" si="84"/>
        <v>268.12800000000004</v>
      </c>
      <c r="BO38" s="1146">
        <f>SUM(BK38,BL38,BM38,BN38)</f>
        <v>987.73304999999993</v>
      </c>
      <c r="BP38" s="1144">
        <f t="shared" si="85"/>
        <v>944.0479650000002</v>
      </c>
      <c r="BQ38" s="1144">
        <f t="shared" si="85"/>
        <v>1154.4357972000003</v>
      </c>
      <c r="BR38" s="1146">
        <f t="shared" si="85"/>
        <v>1235.2463030040003</v>
      </c>
      <c r="BS38" s="32"/>
    </row>
    <row r="39" spans="1:71" s="673" customFormat="1" ht="15">
      <c r="A39" s="99" t="s">
        <v>42</v>
      </c>
      <c r="B39" s="136"/>
      <c r="C39" s="1149"/>
      <c r="D39" s="1149"/>
      <c r="E39" s="1150">
        <v>67</v>
      </c>
      <c r="F39" s="1150">
        <v>71</v>
      </c>
      <c r="G39" s="1150">
        <v>79</v>
      </c>
      <c r="H39" s="1046">
        <v>23</v>
      </c>
      <c r="I39" s="1046">
        <v>24</v>
      </c>
      <c r="J39" s="1046">
        <v>27</v>
      </c>
      <c r="K39" s="1046">
        <v>26</v>
      </c>
      <c r="L39" s="1150">
        <v>100</v>
      </c>
      <c r="M39" s="1046">
        <v>23</v>
      </c>
      <c r="N39" s="1046">
        <v>26</v>
      </c>
      <c r="O39" s="1046">
        <v>22</v>
      </c>
      <c r="P39" s="1046">
        <v>26</v>
      </c>
      <c r="Q39" s="1150">
        <v>97</v>
      </c>
      <c r="R39" s="1046">
        <v>25</v>
      </c>
      <c r="S39" s="1046">
        <v>26</v>
      </c>
      <c r="T39" s="1046">
        <v>24</v>
      </c>
      <c r="U39" s="1046">
        <v>28</v>
      </c>
      <c r="V39" s="1150">
        <v>103</v>
      </c>
      <c r="W39" s="1046">
        <v>25</v>
      </c>
      <c r="X39" s="1046">
        <v>25</v>
      </c>
      <c r="Y39" s="1046">
        <v>30</v>
      </c>
      <c r="Z39" s="1046">
        <v>26</v>
      </c>
      <c r="AA39" s="1150">
        <v>106</v>
      </c>
      <c r="AB39" s="1046">
        <v>29</v>
      </c>
      <c r="AC39" s="1046">
        <v>33</v>
      </c>
      <c r="AD39" s="1046">
        <v>36</v>
      </c>
      <c r="AE39" s="1046">
        <v>37</v>
      </c>
      <c r="AF39" s="1150">
        <v>135</v>
      </c>
      <c r="AG39" s="1046">
        <v>37</v>
      </c>
      <c r="AH39" s="1046">
        <v>36</v>
      </c>
      <c r="AI39" s="1046">
        <v>40</v>
      </c>
      <c r="AJ39" s="1046">
        <v>37</v>
      </c>
      <c r="AK39" s="1150">
        <v>150</v>
      </c>
      <c r="AL39" s="1046">
        <f>40+71</f>
        <v>111</v>
      </c>
      <c r="AM39" s="1046">
        <f>42+61</f>
        <v>103</v>
      </c>
      <c r="AN39" s="1046">
        <f>50+42</f>
        <v>92</v>
      </c>
      <c r="AO39" s="104">
        <f>AP39-SUM(AL39,AM39,AN39)</f>
        <v>74</v>
      </c>
      <c r="AP39" s="1150">
        <f>180+200</f>
        <v>380</v>
      </c>
      <c r="AQ39" s="1046">
        <v>51</v>
      </c>
      <c r="AR39" s="1046">
        <v>52</v>
      </c>
      <c r="AS39" s="1046">
        <v>53</v>
      </c>
      <c r="AT39" s="104">
        <f>AU39-SUM(AQ39,AR39,AS39)</f>
        <v>54</v>
      </c>
      <c r="AU39" s="1150">
        <v>210</v>
      </c>
      <c r="AV39" s="1046">
        <v>57</v>
      </c>
      <c r="AW39" s="1046">
        <v>60</v>
      </c>
      <c r="AX39" s="1046">
        <v>62</v>
      </c>
      <c r="AY39" s="104">
        <f>AZ39-SUM(AV39,AW39,AX39)</f>
        <v>62</v>
      </c>
      <c r="AZ39" s="1150">
        <v>241</v>
      </c>
      <c r="BA39" s="1046">
        <v>62</v>
      </c>
      <c r="BB39" s="1046">
        <v>67</v>
      </c>
      <c r="BC39" s="1046">
        <v>61</v>
      </c>
      <c r="BD39" s="104">
        <f>BE39-SUM(BA39,BB39,BC39)</f>
        <v>69</v>
      </c>
      <c r="BE39" s="1150">
        <v>259</v>
      </c>
      <c r="BF39" s="1046">
        <v>60</v>
      </c>
      <c r="BG39" s="1046">
        <v>62</v>
      </c>
      <c r="BH39" s="1047">
        <v>61</v>
      </c>
      <c r="BI39" s="755">
        <f t="shared" si="83"/>
        <v>54</v>
      </c>
      <c r="BJ39" s="1149">
        <f>SUM(BF39,BG39,BH39,BI39)</f>
        <v>237</v>
      </c>
      <c r="BK39" s="755">
        <f t="shared" si="84"/>
        <v>47.70</v>
      </c>
      <c r="BL39" s="755">
        <f t="shared" si="84"/>
        <v>47.70</v>
      </c>
      <c r="BM39" s="755">
        <f t="shared" si="84"/>
        <v>36</v>
      </c>
      <c r="BN39" s="755">
        <f t="shared" si="84"/>
        <v>54</v>
      </c>
      <c r="BO39" s="1149">
        <f>SUM(BK39,BL39,BM39,BN39)</f>
        <v>185.40</v>
      </c>
      <c r="BP39" s="1149">
        <f t="shared" si="85"/>
        <v>180</v>
      </c>
      <c r="BQ39" s="1149">
        <f t="shared" si="85"/>
        <v>190.80</v>
      </c>
      <c r="BR39" s="1149">
        <f t="shared" si="85"/>
        <v>190.80</v>
      </c>
      <c r="BS39" s="32"/>
    </row>
    <row r="40" spans="1:71" s="673" customFormat="1" ht="15">
      <c r="A40" s="357" t="s">
        <v>43</v>
      </c>
      <c r="B40" s="488"/>
      <c r="C40" s="1151">
        <f>C220</f>
        <v>2412</v>
      </c>
      <c r="D40" s="1151">
        <f>D220</f>
        <v>2550</v>
      </c>
      <c r="E40" s="1151">
        <f t="shared" si="86" ref="E40:AK40">SUM(E36:E39)</f>
        <v>2759</v>
      </c>
      <c r="F40" s="1151">
        <f t="shared" si="86"/>
        <v>2847</v>
      </c>
      <c r="G40" s="1151">
        <f t="shared" si="86"/>
        <v>3204</v>
      </c>
      <c r="H40" s="358">
        <f t="shared" si="86"/>
        <v>754</v>
      </c>
      <c r="I40" s="358">
        <f t="shared" si="86"/>
        <v>931</v>
      </c>
      <c r="J40" s="358">
        <f t="shared" si="86"/>
        <v>1132</v>
      </c>
      <c r="K40" s="358">
        <f t="shared" si="86"/>
        <v>1061</v>
      </c>
      <c r="L40" s="1151">
        <f t="shared" si="86"/>
        <v>3878</v>
      </c>
      <c r="M40" s="358">
        <f t="shared" si="86"/>
        <v>946</v>
      </c>
      <c r="N40" s="358">
        <f t="shared" si="86"/>
        <v>985</v>
      </c>
      <c r="O40" s="358">
        <f t="shared" si="86"/>
        <v>1173</v>
      </c>
      <c r="P40" s="358">
        <f t="shared" si="86"/>
        <v>1120</v>
      </c>
      <c r="Q40" s="1151">
        <f t="shared" si="86"/>
        <v>4224</v>
      </c>
      <c r="R40" s="358">
        <f t="shared" si="86"/>
        <v>998</v>
      </c>
      <c r="S40" s="358">
        <f t="shared" si="86"/>
        <v>1027</v>
      </c>
      <c r="T40" s="358">
        <f t="shared" si="86"/>
        <v>1159</v>
      </c>
      <c r="U40" s="358">
        <f t="shared" si="86"/>
        <v>1144</v>
      </c>
      <c r="V40" s="1151">
        <f t="shared" si="86"/>
        <v>4328</v>
      </c>
      <c r="W40" s="358">
        <f t="shared" si="86"/>
        <v>1022</v>
      </c>
      <c r="X40" s="358">
        <f t="shared" si="86"/>
        <v>1065</v>
      </c>
      <c r="Y40" s="358">
        <f t="shared" si="86"/>
        <v>1267</v>
      </c>
      <c r="Z40" s="358">
        <f t="shared" si="86"/>
        <v>1225</v>
      </c>
      <c r="AA40" s="1151">
        <f t="shared" si="86"/>
        <v>4579</v>
      </c>
      <c r="AB40" s="358">
        <f t="shared" si="86"/>
        <v>1107</v>
      </c>
      <c r="AC40" s="358">
        <f t="shared" si="86"/>
        <v>1161</v>
      </c>
      <c r="AD40" s="358">
        <f t="shared" si="86"/>
        <v>1327</v>
      </c>
      <c r="AE40" s="358">
        <f t="shared" si="86"/>
        <v>1270</v>
      </c>
      <c r="AF40" s="1151">
        <f t="shared" si="86"/>
        <v>4865</v>
      </c>
      <c r="AG40" s="358">
        <f t="shared" si="86"/>
        <v>1173</v>
      </c>
      <c r="AH40" s="358">
        <f t="shared" si="86"/>
        <v>1200</v>
      </c>
      <c r="AI40" s="358">
        <f t="shared" si="86"/>
        <v>1442</v>
      </c>
      <c r="AJ40" s="358">
        <f t="shared" si="86"/>
        <v>1370</v>
      </c>
      <c r="AK40" s="1151">
        <f t="shared" si="86"/>
        <v>5185</v>
      </c>
      <c r="AL40" s="358">
        <f t="shared" si="87" ref="AL40:AQ40">SUM(AL36:AL39)</f>
        <v>1209</v>
      </c>
      <c r="AM40" s="358">
        <f t="shared" si="87"/>
        <v>1184</v>
      </c>
      <c r="AN40" s="358">
        <f t="shared" si="87"/>
        <v>1381</v>
      </c>
      <c r="AO40" s="358">
        <f t="shared" si="87"/>
        <v>1325</v>
      </c>
      <c r="AP40" s="1151">
        <f t="shared" si="87"/>
        <v>5099</v>
      </c>
      <c r="AQ40" s="358">
        <f t="shared" si="87"/>
        <v>1173</v>
      </c>
      <c r="AR40" s="358">
        <f t="shared" si="88" ref="AR40:AW40">SUM(AR36:AR39)</f>
        <v>1250</v>
      </c>
      <c r="AS40" s="358">
        <f t="shared" si="88"/>
        <v>1529</v>
      </c>
      <c r="AT40" s="358">
        <f t="shared" si="88"/>
        <v>1452</v>
      </c>
      <c r="AU40" s="1151">
        <f t="shared" si="88"/>
        <v>5404</v>
      </c>
      <c r="AV40" s="358">
        <f t="shared" si="88"/>
        <v>1302</v>
      </c>
      <c r="AW40" s="358">
        <f t="shared" si="88"/>
        <v>1393</v>
      </c>
      <c r="AX40" s="358">
        <f t="shared" si="89" ref="AX40:BJ40">SUM(AX36:AX39)</f>
        <v>1767</v>
      </c>
      <c r="AY40" s="358">
        <f t="shared" si="89"/>
        <v>1623</v>
      </c>
      <c r="AZ40" s="1151">
        <f t="shared" si="89"/>
        <v>6085</v>
      </c>
      <c r="BA40" s="358">
        <f t="shared" si="90" ref="BA40:BI40">SUM(BA36:BA39)</f>
        <v>1437</v>
      </c>
      <c r="BB40" s="358">
        <f t="shared" si="90"/>
        <v>1507</v>
      </c>
      <c r="BC40" s="358">
        <f t="shared" si="90"/>
        <v>1855</v>
      </c>
      <c r="BD40" s="358">
        <f t="shared" si="90"/>
        <v>1732</v>
      </c>
      <c r="BE40" s="1152">
        <f t="shared" si="90"/>
        <v>6531</v>
      </c>
      <c r="BF40" s="358">
        <f>SUM(BF36:BF39)</f>
        <v>1546</v>
      </c>
      <c r="BG40" s="358">
        <f>SUM(BG36:BG39)</f>
        <v>1585</v>
      </c>
      <c r="BH40" s="878">
        <f>SUM(BH36:BH39)</f>
        <v>2055</v>
      </c>
      <c r="BI40" s="756">
        <f t="shared" si="90"/>
        <v>1433.2635999999998</v>
      </c>
      <c r="BJ40" s="1153">
        <f t="shared" si="89"/>
        <v>6619.2636000000002</v>
      </c>
      <c r="BK40" s="756">
        <f t="shared" si="91" ref="BK40:BR40">SUM(BK36:BK39)</f>
        <v>1534.7327150000001</v>
      </c>
      <c r="BL40" s="756">
        <f t="shared" si="91"/>
        <v>1549.1004500000001</v>
      </c>
      <c r="BM40" s="756">
        <f t="shared" si="91"/>
        <v>1701.5284800000002</v>
      </c>
      <c r="BN40" s="756">
        <f t="shared" si="91"/>
        <v>1565.3297049999996</v>
      </c>
      <c r="BO40" s="1153">
        <f t="shared" si="91"/>
        <v>6350.6913500000001</v>
      </c>
      <c r="BP40" s="1153">
        <f t="shared" si="91"/>
        <v>7176.3899206349997</v>
      </c>
      <c r="BQ40" s="1153">
        <f t="shared" si="91"/>
        <v>9312.2284993391986</v>
      </c>
      <c r="BR40" s="1153">
        <f t="shared" si="91"/>
        <v>9811.1273938486429</v>
      </c>
      <c r="BS40" s="32"/>
    </row>
    <row r="41" spans="1:71" s="674" customFormat="1" ht="15">
      <c r="A41" s="100" t="s">
        <v>44</v>
      </c>
      <c r="B41" s="484"/>
      <c r="C41" s="1142">
        <f t="shared" si="92" ref="C41:AK41">SUM(C40:C40)</f>
        <v>2412</v>
      </c>
      <c r="D41" s="1142">
        <f t="shared" si="92"/>
        <v>2550</v>
      </c>
      <c r="E41" s="1142">
        <f t="shared" si="92"/>
        <v>2759</v>
      </c>
      <c r="F41" s="1142">
        <f t="shared" si="92"/>
        <v>2847</v>
      </c>
      <c r="G41" s="1142">
        <f t="shared" si="92"/>
        <v>3204</v>
      </c>
      <c r="H41" s="98">
        <f t="shared" si="92"/>
        <v>754</v>
      </c>
      <c r="I41" s="98">
        <f t="shared" si="92"/>
        <v>931</v>
      </c>
      <c r="J41" s="98">
        <f t="shared" si="92"/>
        <v>1132</v>
      </c>
      <c r="K41" s="98">
        <f t="shared" si="92"/>
        <v>1061</v>
      </c>
      <c r="L41" s="1142">
        <f t="shared" si="92"/>
        <v>3878</v>
      </c>
      <c r="M41" s="98">
        <f t="shared" si="92"/>
        <v>946</v>
      </c>
      <c r="N41" s="98">
        <f t="shared" si="92"/>
        <v>985</v>
      </c>
      <c r="O41" s="98">
        <f t="shared" si="92"/>
        <v>1173</v>
      </c>
      <c r="P41" s="98">
        <f t="shared" si="92"/>
        <v>1120</v>
      </c>
      <c r="Q41" s="1142">
        <f t="shared" si="92"/>
        <v>4224</v>
      </c>
      <c r="R41" s="98">
        <f t="shared" si="92"/>
        <v>998</v>
      </c>
      <c r="S41" s="98">
        <f t="shared" si="92"/>
        <v>1027</v>
      </c>
      <c r="T41" s="98">
        <f t="shared" si="92"/>
        <v>1159</v>
      </c>
      <c r="U41" s="98">
        <f t="shared" si="92"/>
        <v>1144</v>
      </c>
      <c r="V41" s="1142">
        <f t="shared" si="92"/>
        <v>4328</v>
      </c>
      <c r="W41" s="98">
        <f t="shared" si="92"/>
        <v>1022</v>
      </c>
      <c r="X41" s="98">
        <f t="shared" si="92"/>
        <v>1065</v>
      </c>
      <c r="Y41" s="98">
        <f t="shared" si="92"/>
        <v>1267</v>
      </c>
      <c r="Z41" s="98">
        <f t="shared" si="92"/>
        <v>1225</v>
      </c>
      <c r="AA41" s="1142">
        <f t="shared" si="92"/>
        <v>4579</v>
      </c>
      <c r="AB41" s="98">
        <f t="shared" si="92"/>
        <v>1107</v>
      </c>
      <c r="AC41" s="98">
        <f t="shared" si="92"/>
        <v>1161</v>
      </c>
      <c r="AD41" s="98">
        <f t="shared" si="92"/>
        <v>1327</v>
      </c>
      <c r="AE41" s="98">
        <f t="shared" si="92"/>
        <v>1270</v>
      </c>
      <c r="AF41" s="1142">
        <f t="shared" si="92"/>
        <v>4865</v>
      </c>
      <c r="AG41" s="98">
        <f t="shared" si="92"/>
        <v>1173</v>
      </c>
      <c r="AH41" s="98">
        <f t="shared" si="92"/>
        <v>1200</v>
      </c>
      <c r="AI41" s="98">
        <f t="shared" si="92"/>
        <v>1442</v>
      </c>
      <c r="AJ41" s="98">
        <f t="shared" si="92"/>
        <v>1370</v>
      </c>
      <c r="AK41" s="1142">
        <f t="shared" si="92"/>
        <v>5185</v>
      </c>
      <c r="AL41" s="98">
        <f t="shared" si="93" ref="AL41:AQ41">SUM(AL40:AL40)</f>
        <v>1209</v>
      </c>
      <c r="AM41" s="98">
        <f t="shared" si="93"/>
        <v>1184</v>
      </c>
      <c r="AN41" s="98">
        <f t="shared" si="93"/>
        <v>1381</v>
      </c>
      <c r="AO41" s="98">
        <f t="shared" si="93"/>
        <v>1325</v>
      </c>
      <c r="AP41" s="1142">
        <f t="shared" si="93"/>
        <v>5099</v>
      </c>
      <c r="AQ41" s="98">
        <f t="shared" si="93"/>
        <v>1173</v>
      </c>
      <c r="AR41" s="98">
        <f t="shared" si="94" ref="AR41:AW41">SUM(AR40:AR40)</f>
        <v>1250</v>
      </c>
      <c r="AS41" s="98">
        <f t="shared" si="94"/>
        <v>1529</v>
      </c>
      <c r="AT41" s="98">
        <f t="shared" si="94"/>
        <v>1452</v>
      </c>
      <c r="AU41" s="1142">
        <f t="shared" si="94"/>
        <v>5404</v>
      </c>
      <c r="AV41" s="98">
        <f t="shared" si="94"/>
        <v>1302</v>
      </c>
      <c r="AW41" s="98">
        <f t="shared" si="94"/>
        <v>1393</v>
      </c>
      <c r="AX41" s="98">
        <f t="shared" si="95" ref="AX41:BJ41">SUM(AX40:AX40)</f>
        <v>1767</v>
      </c>
      <c r="AY41" s="98">
        <f t="shared" si="95"/>
        <v>1623</v>
      </c>
      <c r="AZ41" s="1142">
        <f t="shared" si="95"/>
        <v>6085</v>
      </c>
      <c r="BA41" s="98">
        <f t="shared" si="96" ref="BA41:BI41">SUM(BA40:BA40)</f>
        <v>1437</v>
      </c>
      <c r="BB41" s="98">
        <f t="shared" si="96"/>
        <v>1507</v>
      </c>
      <c r="BC41" s="98">
        <f t="shared" si="96"/>
        <v>1855</v>
      </c>
      <c r="BD41" s="98">
        <f t="shared" si="96"/>
        <v>1732</v>
      </c>
      <c r="BE41" s="1142">
        <f t="shared" si="96"/>
        <v>6531</v>
      </c>
      <c r="BF41" s="98">
        <f>SUM(BF40:BF40)</f>
        <v>1546</v>
      </c>
      <c r="BG41" s="98">
        <f>SUM(BG40:BG40)</f>
        <v>1585</v>
      </c>
      <c r="BH41" s="877">
        <f>SUM(BH40:BH40)</f>
        <v>2055</v>
      </c>
      <c r="BI41" s="753">
        <f t="shared" si="96"/>
        <v>1433.2635999999998</v>
      </c>
      <c r="BJ41" s="1143">
        <f t="shared" si="95"/>
        <v>6619.2636000000002</v>
      </c>
      <c r="BK41" s="753">
        <f t="shared" si="97" ref="BK41:BR41">SUM(BK40:BK40)</f>
        <v>1534.7327150000001</v>
      </c>
      <c r="BL41" s="753">
        <f t="shared" si="97"/>
        <v>1549.1004500000001</v>
      </c>
      <c r="BM41" s="753">
        <f t="shared" si="97"/>
        <v>1701.5284800000002</v>
      </c>
      <c r="BN41" s="753">
        <f t="shared" si="97"/>
        <v>1565.3297049999996</v>
      </c>
      <c r="BO41" s="1143">
        <f t="shared" si="97"/>
        <v>6350.6913500000001</v>
      </c>
      <c r="BP41" s="1143">
        <f t="shared" si="97"/>
        <v>7176.3899206349997</v>
      </c>
      <c r="BQ41" s="1143">
        <f t="shared" si="97"/>
        <v>9312.2284993391986</v>
      </c>
      <c r="BR41" s="1143">
        <f t="shared" si="97"/>
        <v>9811.1273938486429</v>
      </c>
      <c r="BS41" s="37"/>
    </row>
    <row r="42" spans="1:71" s="675" customFormat="1" ht="15">
      <c r="A42" s="105" t="str">
        <f>CONCATENATE("Consensus Estimates - ",IFERROR(LEFT(A41,FIND("(",A41)-1),A41))</f>
        <v>Consensus Estimates - Total Net Earned Premiums, mm</v>
      </c>
      <c r="B42" s="164"/>
      <c r="C42" s="1154"/>
      <c r="D42" s="1154"/>
      <c r="E42" s="1154"/>
      <c r="F42" s="1154"/>
      <c r="G42" s="1154"/>
      <c r="H42" s="311"/>
      <c r="I42" s="311"/>
      <c r="J42" s="311"/>
      <c r="K42" s="311"/>
      <c r="L42" s="1154"/>
      <c r="M42" s="311"/>
      <c r="N42" s="311"/>
      <c r="O42" s="311"/>
      <c r="P42" s="311"/>
      <c r="Q42" s="1154"/>
      <c r="R42" s="311"/>
      <c r="S42" s="325"/>
      <c r="T42" s="311"/>
      <c r="U42" s="311"/>
      <c r="V42" s="1154"/>
      <c r="W42" s="311"/>
      <c r="X42" s="325"/>
      <c r="Y42" s="311"/>
      <c r="Z42" s="311"/>
      <c r="AA42" s="1154"/>
      <c r="AB42" s="311"/>
      <c r="AC42" s="325"/>
      <c r="AD42" s="311"/>
      <c r="AE42" s="311"/>
      <c r="AF42" s="1154"/>
      <c r="AG42" s="311"/>
      <c r="AH42" s="325"/>
      <c r="AI42" s="311"/>
      <c r="AJ42" s="311"/>
      <c r="AK42" s="1154"/>
      <c r="AL42" s="311"/>
      <c r="AM42" s="325"/>
      <c r="AN42" s="311"/>
      <c r="AO42" s="311"/>
      <c r="AP42" s="1154"/>
      <c r="AQ42" s="311"/>
      <c r="AR42" s="325"/>
      <c r="AS42" s="311"/>
      <c r="AT42" s="311"/>
      <c r="AU42" s="1154"/>
      <c r="AV42" s="311"/>
      <c r="AW42" s="325"/>
      <c r="AX42" s="311"/>
      <c r="AY42" s="311"/>
      <c r="AZ42" s="1154"/>
      <c r="BA42" s="311"/>
      <c r="BB42" s="325"/>
      <c r="BC42" s="311"/>
      <c r="BD42" s="311"/>
      <c r="BE42" s="1154"/>
      <c r="BF42" s="311"/>
      <c r="BG42" s="325"/>
      <c r="BH42" s="879"/>
      <c r="BI42" s="923" t="str">
        <f ca="1" t="shared" si="98" ref="BI42:BO42">IFERROR(VLOOKUP($A42,tb_ConsensusEstimate,MATCH(BI$5,OFFSET(tb_ConsensusEstimate,0,0,1,COLUMNS(tb_ConsensusEstimate)),0),FALSE),"-")</f>
        <v>N/A</v>
      </c>
      <c r="BJ42" s="1155" t="str">
        <f t="shared" ca="1" si="98"/>
        <v>N/A</v>
      </c>
      <c r="BK42" s="923" t="str">
        <f t="shared" ca="1" si="98"/>
        <v>N/A</v>
      </c>
      <c r="BL42" s="923" t="str">
        <f t="shared" ca="1" si="98"/>
        <v>N/A</v>
      </c>
      <c r="BM42" s="923" t="str">
        <f t="shared" ca="1" si="98"/>
        <v>N/A</v>
      </c>
      <c r="BN42" s="923" t="str">
        <f t="shared" ca="1" si="98"/>
        <v>N/A</v>
      </c>
      <c r="BO42" s="1155" t="str">
        <f t="shared" ca="1" si="98"/>
        <v>N/A</v>
      </c>
      <c r="BP42" s="1156" t="str">
        <f ca="1">IFERROR(VLOOKUP($A42,tb_ConsensusEstimate,MATCH(BP5,OFFSET(tb_ConsensusEstimate,0,0,1,COLUMNS(tb_ConsensusEstimate)),0),FALSE),"-")</f>
        <v>N/A</v>
      </c>
      <c r="BQ42" s="1156" t="str">
        <f ca="1">IFERROR(VLOOKUP($A42,tb_ConsensusEstimate,MATCH(BQ5,OFFSET(tb_ConsensusEstimate,0,0,1,COLUMNS(tb_ConsensusEstimate)),0),FALSE),"-")</f>
        <v>N/A</v>
      </c>
      <c r="BR42" s="1155" t="str">
        <f ca="1">IFERROR(VLOOKUP($A42,tb_ConsensusEstimate,MATCH(BR5,OFFSET(tb_ConsensusEstimate,0,0,1,COLUMNS(tb_ConsensusEstimate)),0),FALSE),"-")</f>
        <v>N/A</v>
      </c>
      <c r="BS42" s="108"/>
    </row>
    <row r="43" spans="1:71" s="673" customFormat="1" ht="15">
      <c r="A43" s="489"/>
      <c r="B43" s="480"/>
      <c r="C43" s="1131"/>
      <c r="D43" s="1131"/>
      <c r="E43" s="1131"/>
      <c r="F43" s="1131"/>
      <c r="G43" s="1131"/>
      <c r="H43" s="419"/>
      <c r="I43" s="419"/>
      <c r="J43" s="419"/>
      <c r="K43" s="419"/>
      <c r="L43" s="1131"/>
      <c r="M43" s="419"/>
      <c r="N43" s="419"/>
      <c r="O43" s="419"/>
      <c r="P43" s="419"/>
      <c r="Q43" s="1131"/>
      <c r="R43" s="419"/>
      <c r="S43" s="419"/>
      <c r="T43" s="419"/>
      <c r="U43" s="419"/>
      <c r="V43" s="1131"/>
      <c r="W43" s="419"/>
      <c r="X43" s="419"/>
      <c r="Y43" s="419"/>
      <c r="Z43" s="419"/>
      <c r="AA43" s="1131"/>
      <c r="AB43" s="419"/>
      <c r="AC43" s="419"/>
      <c r="AD43" s="419"/>
      <c r="AE43" s="419"/>
      <c r="AF43" s="1131"/>
      <c r="AG43" s="419"/>
      <c r="AH43" s="419"/>
      <c r="AI43" s="419"/>
      <c r="AJ43" s="419"/>
      <c r="AK43" s="1131"/>
      <c r="AL43" s="419"/>
      <c r="AM43" s="419"/>
      <c r="AN43" s="419"/>
      <c r="AO43" s="419"/>
      <c r="AP43" s="1131"/>
      <c r="AQ43" s="419"/>
      <c r="AR43" s="419"/>
      <c r="AS43" s="419"/>
      <c r="AT43" s="419"/>
      <c r="AU43" s="1131"/>
      <c r="AV43" s="419"/>
      <c r="AW43" s="419"/>
      <c r="AX43" s="419"/>
      <c r="AY43" s="419"/>
      <c r="AZ43" s="1131"/>
      <c r="BA43" s="419"/>
      <c r="BB43" s="419"/>
      <c r="BC43" s="419"/>
      <c r="BD43" s="419"/>
      <c r="BE43" s="1131"/>
      <c r="BF43" s="419"/>
      <c r="BG43" s="419"/>
      <c r="BH43" s="464"/>
      <c r="BI43" s="171"/>
      <c r="BJ43" s="1133"/>
      <c r="BK43" s="171"/>
      <c r="BL43" s="171"/>
      <c r="BM43" s="171"/>
      <c r="BN43" s="171"/>
      <c r="BO43" s="1133"/>
      <c r="BP43" s="1131"/>
      <c r="BQ43" s="1131"/>
      <c r="BR43" s="1133"/>
      <c r="BS43" s="32"/>
    </row>
    <row r="44" spans="1:71" s="673" customFormat="1" ht="15">
      <c r="A44" s="614" t="s">
        <v>541</v>
      </c>
      <c r="B44" s="480"/>
      <c r="C44" s="1131"/>
      <c r="D44" s="1131"/>
      <c r="E44" s="1131"/>
      <c r="F44" s="1131">
        <f t="shared" si="99" ref="F44:AO44">F46-F45</f>
        <v>1051</v>
      </c>
      <c r="G44" s="1131">
        <f t="shared" si="99"/>
        <v>1116</v>
      </c>
      <c r="H44" s="419">
        <f t="shared" si="99"/>
        <v>196</v>
      </c>
      <c r="I44" s="419">
        <f t="shared" si="99"/>
        <v>218</v>
      </c>
      <c r="J44" s="419">
        <f t="shared" si="99"/>
        <v>411</v>
      </c>
      <c r="K44" s="419">
        <f t="shared" si="99"/>
        <v>294</v>
      </c>
      <c r="L44" s="1131">
        <f t="shared" si="99"/>
        <v>1119</v>
      </c>
      <c r="M44" s="419">
        <f t="shared" si="99"/>
        <v>204</v>
      </c>
      <c r="N44" s="419">
        <f t="shared" si="99"/>
        <v>227</v>
      </c>
      <c r="O44" s="419">
        <f t="shared" si="99"/>
        <v>386</v>
      </c>
      <c r="P44" s="419">
        <f t="shared" si="99"/>
        <v>306</v>
      </c>
      <c r="Q44" s="1131">
        <f t="shared" si="99"/>
        <v>1123</v>
      </c>
      <c r="R44" s="419">
        <f t="shared" si="99"/>
        <v>222</v>
      </c>
      <c r="S44" s="419">
        <f t="shared" si="99"/>
        <v>245</v>
      </c>
      <c r="T44" s="419">
        <f t="shared" si="99"/>
        <v>337</v>
      </c>
      <c r="U44" s="419">
        <f t="shared" si="99"/>
        <v>300</v>
      </c>
      <c r="V44" s="1131">
        <f t="shared" si="99"/>
        <v>1104</v>
      </c>
      <c r="W44" s="419">
        <f t="shared" si="99"/>
        <v>220</v>
      </c>
      <c r="X44" s="419">
        <f t="shared" si="99"/>
        <v>232</v>
      </c>
      <c r="Y44" s="419">
        <f t="shared" si="99"/>
        <v>392</v>
      </c>
      <c r="Z44" s="419">
        <f t="shared" si="99"/>
        <v>332</v>
      </c>
      <c r="AA44" s="1131">
        <f t="shared" si="99"/>
        <v>1176</v>
      </c>
      <c r="AB44" s="419">
        <f t="shared" si="99"/>
        <v>233</v>
      </c>
      <c r="AC44" s="419">
        <f t="shared" si="99"/>
        <v>250</v>
      </c>
      <c r="AD44" s="419">
        <f t="shared" si="99"/>
        <v>398</v>
      </c>
      <c r="AE44" s="419">
        <f t="shared" si="99"/>
        <v>335</v>
      </c>
      <c r="AF44" s="1131">
        <f t="shared" si="99"/>
        <v>1216</v>
      </c>
      <c r="AG44" s="419">
        <f t="shared" si="99"/>
        <v>242</v>
      </c>
      <c r="AH44" s="419">
        <f t="shared" si="99"/>
        <v>257</v>
      </c>
      <c r="AI44" s="419">
        <f t="shared" si="99"/>
        <v>430</v>
      </c>
      <c r="AJ44" s="419">
        <f t="shared" si="99"/>
        <v>403</v>
      </c>
      <c r="AK44" s="1131">
        <f t="shared" si="99"/>
        <v>1332</v>
      </c>
      <c r="AL44" s="419">
        <f t="shared" si="99"/>
        <v>253</v>
      </c>
      <c r="AM44" s="419">
        <f t="shared" si="99"/>
        <v>249</v>
      </c>
      <c r="AN44" s="419">
        <f t="shared" si="99"/>
        <v>410</v>
      </c>
      <c r="AO44" s="419">
        <f t="shared" si="99"/>
        <v>349</v>
      </c>
      <c r="AP44" s="1131">
        <f t="shared" si="100" ref="AP44:AU44">AP46-AP45</f>
        <v>1261</v>
      </c>
      <c r="AQ44" s="419">
        <f t="shared" si="100"/>
        <v>250</v>
      </c>
      <c r="AR44" s="419">
        <f t="shared" si="100"/>
        <v>297</v>
      </c>
      <c r="AS44" s="419">
        <f t="shared" si="100"/>
        <v>520</v>
      </c>
      <c r="AT44" s="419">
        <f t="shared" si="100"/>
        <v>381</v>
      </c>
      <c r="AU44" s="1131">
        <f t="shared" si="100"/>
        <v>1448</v>
      </c>
      <c r="AV44" s="419">
        <f t="shared" si="101" ref="AV44:BA44">AV46-AV45</f>
        <v>284</v>
      </c>
      <c r="AW44" s="419">
        <f t="shared" si="101"/>
        <v>338</v>
      </c>
      <c r="AX44" s="419">
        <f t="shared" si="101"/>
        <v>665</v>
      </c>
      <c r="AY44" s="419">
        <f t="shared" si="101"/>
        <v>495</v>
      </c>
      <c r="AZ44" s="1131">
        <f t="shared" si="101"/>
        <v>1782</v>
      </c>
      <c r="BA44" s="419">
        <f t="shared" si="101"/>
        <v>307</v>
      </c>
      <c r="BB44" s="419">
        <f t="shared" si="102" ref="BB44:BG44">BB46-BB45</f>
        <v>352</v>
      </c>
      <c r="BC44" s="419">
        <f t="shared" si="102"/>
        <v>636</v>
      </c>
      <c r="BD44" s="419">
        <f t="shared" si="102"/>
        <v>477</v>
      </c>
      <c r="BE44" s="1131">
        <f t="shared" si="102"/>
        <v>1772</v>
      </c>
      <c r="BF44" s="419">
        <f t="shared" si="102"/>
        <v>339</v>
      </c>
      <c r="BG44" s="419">
        <f t="shared" si="102"/>
        <v>368</v>
      </c>
      <c r="BH44" s="464">
        <f>BH46-BH45</f>
        <v>758</v>
      </c>
      <c r="BI44" s="171">
        <f>BI36*BI105</f>
        <v>341.29185999999993</v>
      </c>
      <c r="BJ44" s="1133">
        <f>SUM(BF44,BG44,BH44,BI44)</f>
        <v>1806.2918599999998</v>
      </c>
      <c r="BK44" s="171">
        <f>BK36*BK105</f>
        <v>304.80544325000005</v>
      </c>
      <c r="BL44" s="171">
        <f>BL36*BL105</f>
        <v>422.01420800000005</v>
      </c>
      <c r="BM44" s="171">
        <f>BM36*BM105</f>
        <v>469.79694719999998</v>
      </c>
      <c r="BN44" s="171">
        <f>BN36*BN105</f>
        <v>253.04920549999997</v>
      </c>
      <c r="BO44" s="1133">
        <f>SUM(BK44,BL44,BM44,BN44)</f>
        <v>1449.6658039500001</v>
      </c>
      <c r="BP44" s="1131">
        <f>BP36*BP105</f>
        <v>1618.6096606463998</v>
      </c>
      <c r="BQ44" s="1131">
        <f>BQ36*BQ105</f>
        <v>2338.8909596340477</v>
      </c>
      <c r="BR44" s="1133">
        <f>BR36*BR105</f>
        <v>2385.6687788267286</v>
      </c>
      <c r="BS44" s="32"/>
    </row>
    <row r="45" spans="1:71" s="673" customFormat="1" ht="15">
      <c r="A45" s="614" t="s">
        <v>540</v>
      </c>
      <c r="B45" s="480"/>
      <c r="C45" s="1131"/>
      <c r="D45" s="1131"/>
      <c r="E45" s="1131"/>
      <c r="F45" s="1132">
        <v>27</v>
      </c>
      <c r="G45" s="1132">
        <v>27</v>
      </c>
      <c r="H45" s="1037">
        <v>9</v>
      </c>
      <c r="I45" s="1037">
        <v>8</v>
      </c>
      <c r="J45" s="1037">
        <v>1</v>
      </c>
      <c r="K45" s="419">
        <f>L45-SUM(H45,I45,J45)</f>
        <v>2</v>
      </c>
      <c r="L45" s="1132">
        <v>20</v>
      </c>
      <c r="M45" s="1037">
        <v>4</v>
      </c>
      <c r="N45" s="1037">
        <v>7</v>
      </c>
      <c r="O45" s="1037">
        <v>7</v>
      </c>
      <c r="P45" s="419">
        <f>Q45-SUM(M45,N45,O45)</f>
        <v>3</v>
      </c>
      <c r="Q45" s="1132">
        <v>21</v>
      </c>
      <c r="R45" s="1037">
        <v>6</v>
      </c>
      <c r="S45" s="1037">
        <v>12</v>
      </c>
      <c r="T45" s="1037">
        <v>7</v>
      </c>
      <c r="U45" s="419">
        <f>V45-SUM(R45,S45,T45)</f>
        <v>6</v>
      </c>
      <c r="V45" s="1132">
        <v>31</v>
      </c>
      <c r="W45" s="1037">
        <v>5</v>
      </c>
      <c r="X45" s="1037">
        <v>11</v>
      </c>
      <c r="Y45" s="1037">
        <v>23</v>
      </c>
      <c r="Z45" s="419">
        <f>AA45-SUM(W45,X45,Y45)</f>
        <v>-3</v>
      </c>
      <c r="AA45" s="1132">
        <v>36</v>
      </c>
      <c r="AB45" s="1037">
        <v>5</v>
      </c>
      <c r="AC45" s="1037">
        <v>10</v>
      </c>
      <c r="AD45" s="1037">
        <v>12</v>
      </c>
      <c r="AE45" s="419">
        <f>AF45-SUM(AB45,AC45,AD45)</f>
        <v>-1</v>
      </c>
      <c r="AF45" s="1132">
        <v>26</v>
      </c>
      <c r="AG45" s="1037">
        <v>9</v>
      </c>
      <c r="AH45" s="1037">
        <v>8</v>
      </c>
      <c r="AI45" s="1037">
        <v>8</v>
      </c>
      <c r="AJ45" s="419">
        <f>AK45-SUM(AG45,AH45,AI45)</f>
        <v>7</v>
      </c>
      <c r="AK45" s="1132">
        <v>32</v>
      </c>
      <c r="AL45" s="1037">
        <v>8</v>
      </c>
      <c r="AM45" s="1037">
        <v>18</v>
      </c>
      <c r="AN45" s="1037">
        <v>19</v>
      </c>
      <c r="AO45" s="419">
        <f>AP45-SUM(AL45,AM45,AN45)</f>
        <v>9</v>
      </c>
      <c r="AP45" s="1132">
        <v>54</v>
      </c>
      <c r="AQ45" s="1037">
        <v>14</v>
      </c>
      <c r="AR45" s="1037">
        <v>6</v>
      </c>
      <c r="AS45" s="1037">
        <v>14</v>
      </c>
      <c r="AT45" s="1037">
        <v>15</v>
      </c>
      <c r="AU45" s="1132">
        <v>49</v>
      </c>
      <c r="AV45" s="1037">
        <v>6</v>
      </c>
      <c r="AW45" s="1037">
        <v>19</v>
      </c>
      <c r="AX45" s="1037">
        <f>9+4</f>
        <v>13</v>
      </c>
      <c r="AY45" s="1037">
        <f>8-1</f>
        <v>7</v>
      </c>
      <c r="AZ45" s="1132">
        <f>42+3</f>
        <v>45</v>
      </c>
      <c r="BA45" s="1037">
        <v>19</v>
      </c>
      <c r="BB45" s="1037">
        <v>15</v>
      </c>
      <c r="BC45" s="1037">
        <v>14</v>
      </c>
      <c r="BD45" s="1037">
        <v>5</v>
      </c>
      <c r="BE45" s="1132">
        <v>53</v>
      </c>
      <c r="BF45" s="1037">
        <v>8</v>
      </c>
      <c r="BG45" s="1037">
        <v>13</v>
      </c>
      <c r="BH45" s="1038">
        <v>34</v>
      </c>
      <c r="BI45" s="171">
        <f>BI36*BI106</f>
        <v>0</v>
      </c>
      <c r="BJ45" s="1133">
        <f>SUM(BF45,BG45,BH45,BI45)</f>
        <v>55</v>
      </c>
      <c r="BK45" s="171">
        <f>BK36*BK106</f>
        <v>0</v>
      </c>
      <c r="BL45" s="171">
        <f>BL36*BL106</f>
        <v>0</v>
      </c>
      <c r="BM45" s="171">
        <f>BM36*BM106</f>
        <v>0</v>
      </c>
      <c r="BN45" s="171">
        <f>BN36*BN106</f>
        <v>0</v>
      </c>
      <c r="BO45" s="1133">
        <f>SUM(BK45,BL45,BM45,BN45)</f>
        <v>0</v>
      </c>
      <c r="BP45" s="1131">
        <f>BP36*BP106</f>
        <v>0</v>
      </c>
      <c r="BQ45" s="1131">
        <f>BQ36*BQ106</f>
        <v>0</v>
      </c>
      <c r="BR45" s="1133">
        <f>BR36*BR106</f>
        <v>0</v>
      </c>
      <c r="BS45" s="32"/>
    </row>
    <row r="46" spans="1:71" s="673" customFormat="1" ht="15">
      <c r="A46" s="615" t="s">
        <v>539</v>
      </c>
      <c r="B46" s="490"/>
      <c r="C46" s="1157"/>
      <c r="D46" s="1157"/>
      <c r="E46" s="1157"/>
      <c r="F46" s="1157">
        <f t="shared" si="103" ref="F46:AO46">F48-F47</f>
        <v>1078</v>
      </c>
      <c r="G46" s="1157">
        <f t="shared" si="103"/>
        <v>1143</v>
      </c>
      <c r="H46" s="617">
        <f t="shared" si="103"/>
        <v>205</v>
      </c>
      <c r="I46" s="617">
        <f t="shared" si="103"/>
        <v>226</v>
      </c>
      <c r="J46" s="617">
        <f t="shared" si="103"/>
        <v>412</v>
      </c>
      <c r="K46" s="617">
        <f t="shared" si="103"/>
        <v>296</v>
      </c>
      <c r="L46" s="1157">
        <f t="shared" si="103"/>
        <v>1139</v>
      </c>
      <c r="M46" s="617">
        <f t="shared" si="103"/>
        <v>208</v>
      </c>
      <c r="N46" s="617">
        <f t="shared" si="103"/>
        <v>234</v>
      </c>
      <c r="O46" s="617">
        <f t="shared" si="103"/>
        <v>393</v>
      </c>
      <c r="P46" s="617">
        <f t="shared" si="103"/>
        <v>309</v>
      </c>
      <c r="Q46" s="1157">
        <f t="shared" si="103"/>
        <v>1144</v>
      </c>
      <c r="R46" s="617">
        <f t="shared" si="103"/>
        <v>228</v>
      </c>
      <c r="S46" s="617">
        <f t="shared" si="103"/>
        <v>257</v>
      </c>
      <c r="T46" s="617">
        <f t="shared" si="103"/>
        <v>344</v>
      </c>
      <c r="U46" s="617">
        <f t="shared" si="103"/>
        <v>306</v>
      </c>
      <c r="V46" s="1157">
        <f t="shared" si="103"/>
        <v>1135</v>
      </c>
      <c r="W46" s="617">
        <f t="shared" si="103"/>
        <v>225</v>
      </c>
      <c r="X46" s="617">
        <f t="shared" si="103"/>
        <v>243</v>
      </c>
      <c r="Y46" s="617">
        <f t="shared" si="103"/>
        <v>415</v>
      </c>
      <c r="Z46" s="617">
        <f t="shared" si="103"/>
        <v>329</v>
      </c>
      <c r="AA46" s="1157">
        <f t="shared" si="103"/>
        <v>1212</v>
      </c>
      <c r="AB46" s="617">
        <f t="shared" si="103"/>
        <v>238</v>
      </c>
      <c r="AC46" s="617">
        <f t="shared" si="103"/>
        <v>260</v>
      </c>
      <c r="AD46" s="617">
        <f t="shared" si="103"/>
        <v>410</v>
      </c>
      <c r="AE46" s="617">
        <f t="shared" si="103"/>
        <v>334</v>
      </c>
      <c r="AF46" s="1157">
        <f t="shared" si="103"/>
        <v>1242</v>
      </c>
      <c r="AG46" s="617">
        <f t="shared" si="103"/>
        <v>251</v>
      </c>
      <c r="AH46" s="617">
        <f t="shared" si="103"/>
        <v>265</v>
      </c>
      <c r="AI46" s="617">
        <f t="shared" si="103"/>
        <v>438</v>
      </c>
      <c r="AJ46" s="617">
        <f t="shared" si="103"/>
        <v>410</v>
      </c>
      <c r="AK46" s="1157">
        <f t="shared" si="103"/>
        <v>1364</v>
      </c>
      <c r="AL46" s="617">
        <f t="shared" si="103"/>
        <v>261</v>
      </c>
      <c r="AM46" s="617">
        <f t="shared" si="103"/>
        <v>267</v>
      </c>
      <c r="AN46" s="617">
        <f t="shared" si="103"/>
        <v>429</v>
      </c>
      <c r="AO46" s="617">
        <f t="shared" si="103"/>
        <v>358</v>
      </c>
      <c r="AP46" s="1157">
        <f t="shared" si="104" ref="AP46:AU46">AP48-AP47</f>
        <v>1315</v>
      </c>
      <c r="AQ46" s="617">
        <f t="shared" si="104"/>
        <v>264</v>
      </c>
      <c r="AR46" s="617">
        <f t="shared" si="104"/>
        <v>303</v>
      </c>
      <c r="AS46" s="617">
        <f t="shared" si="104"/>
        <v>534</v>
      </c>
      <c r="AT46" s="617">
        <f t="shared" si="104"/>
        <v>396</v>
      </c>
      <c r="AU46" s="1157">
        <f t="shared" si="104"/>
        <v>1497</v>
      </c>
      <c r="AV46" s="617">
        <f t="shared" si="105" ref="AV46:BA46">AV48-AV47</f>
        <v>290</v>
      </c>
      <c r="AW46" s="617">
        <f t="shared" si="105"/>
        <v>357</v>
      </c>
      <c r="AX46" s="617">
        <f t="shared" si="105"/>
        <v>678</v>
      </c>
      <c r="AY46" s="617">
        <f t="shared" si="105"/>
        <v>502</v>
      </c>
      <c r="AZ46" s="1157">
        <f t="shared" si="105"/>
        <v>1827</v>
      </c>
      <c r="BA46" s="617">
        <f t="shared" si="105"/>
        <v>326</v>
      </c>
      <c r="BB46" s="617">
        <f t="shared" si="106" ref="BB46:BG46">BB48-BB47</f>
        <v>367</v>
      </c>
      <c r="BC46" s="617">
        <f t="shared" si="106"/>
        <v>650</v>
      </c>
      <c r="BD46" s="617">
        <f t="shared" si="106"/>
        <v>482</v>
      </c>
      <c r="BE46" s="1157">
        <f t="shared" si="106"/>
        <v>1825</v>
      </c>
      <c r="BF46" s="617">
        <f t="shared" si="106"/>
        <v>347</v>
      </c>
      <c r="BG46" s="617">
        <f t="shared" si="106"/>
        <v>381</v>
      </c>
      <c r="BH46" s="772">
        <f>BH48-BH47</f>
        <v>792</v>
      </c>
      <c r="BI46" s="617">
        <f t="shared" si="107" ref="BI46:BR46">BI45+BI44</f>
        <v>341.29185999999993</v>
      </c>
      <c r="BJ46" s="1157">
        <f t="shared" si="107"/>
        <v>1861.2918599999998</v>
      </c>
      <c r="BK46" s="617">
        <f t="shared" si="107"/>
        <v>304.80544325000005</v>
      </c>
      <c r="BL46" s="617">
        <f t="shared" si="107"/>
        <v>422.01420800000005</v>
      </c>
      <c r="BM46" s="617">
        <f t="shared" si="107"/>
        <v>469.79694719999998</v>
      </c>
      <c r="BN46" s="617">
        <f t="shared" si="107"/>
        <v>253.04920549999997</v>
      </c>
      <c r="BO46" s="1157">
        <f t="shared" si="107"/>
        <v>1449.6658039500001</v>
      </c>
      <c r="BP46" s="1157">
        <f t="shared" si="107"/>
        <v>1618.6096606463998</v>
      </c>
      <c r="BQ46" s="1157">
        <f t="shared" si="107"/>
        <v>2338.8909596340477</v>
      </c>
      <c r="BR46" s="1157">
        <f t="shared" si="107"/>
        <v>2385.6687788267286</v>
      </c>
      <c r="BS46" s="32"/>
    </row>
    <row r="47" spans="1:71" s="673" customFormat="1" ht="15">
      <c r="A47" s="613" t="s">
        <v>538</v>
      </c>
      <c r="B47" s="480"/>
      <c r="C47" s="1131"/>
      <c r="D47" s="1131"/>
      <c r="E47" s="1131"/>
      <c r="F47" s="1132">
        <v>-16</v>
      </c>
      <c r="G47" s="1132">
        <v>-1</v>
      </c>
      <c r="H47" s="1037">
        <v>-4</v>
      </c>
      <c r="I47" s="1037">
        <v>22</v>
      </c>
      <c r="J47" s="1037">
        <v>-5</v>
      </c>
      <c r="K47" s="419">
        <f>L47-SUM(H47,I47,J47)</f>
        <v>3</v>
      </c>
      <c r="L47" s="1132">
        <v>16</v>
      </c>
      <c r="M47" s="1037">
        <v>3</v>
      </c>
      <c r="N47" s="1037">
        <v>6</v>
      </c>
      <c r="O47" s="1037">
        <v>-2</v>
      </c>
      <c r="P47" s="419">
        <f>Q47-SUM(M47,N47,O47)</f>
        <v>8</v>
      </c>
      <c r="Q47" s="1132">
        <v>15</v>
      </c>
      <c r="R47" s="1037">
        <v>-17</v>
      </c>
      <c r="S47" s="1037">
        <v>-12</v>
      </c>
      <c r="T47" s="1037">
        <v>-5</v>
      </c>
      <c r="U47" s="419">
        <f>V47-SUM(R47,S47,T47)</f>
        <v>13</v>
      </c>
      <c r="V47" s="1132">
        <v>-21</v>
      </c>
      <c r="W47" s="1037">
        <v>-17</v>
      </c>
      <c r="X47" s="1037">
        <v>-11</v>
      </c>
      <c r="Y47" s="1037">
        <v>-8</v>
      </c>
      <c r="Z47" s="419">
        <f>AA47-SUM(W47,X47,Y47)</f>
        <v>-4</v>
      </c>
      <c r="AA47" s="1132">
        <v>-40</v>
      </c>
      <c r="AB47" s="1037">
        <v>-18</v>
      </c>
      <c r="AC47" s="1037">
        <v>-21</v>
      </c>
      <c r="AD47" s="1037">
        <v>-4</v>
      </c>
      <c r="AE47" s="419">
        <f>AF47-SUM(AB47,AC47,AD47)</f>
        <v>-7</v>
      </c>
      <c r="AF47" s="1132">
        <v>-50</v>
      </c>
      <c r="AG47" s="1037">
        <v>-26</v>
      </c>
      <c r="AH47" s="1037">
        <v>-6</v>
      </c>
      <c r="AI47" s="1037">
        <v>-17</v>
      </c>
      <c r="AJ47" s="419">
        <f>AK47-SUM(AG47,AH47,AI47)</f>
        <v>-18</v>
      </c>
      <c r="AK47" s="1132">
        <v>-67</v>
      </c>
      <c r="AL47" s="1037">
        <v>-24</v>
      </c>
      <c r="AM47" s="1037">
        <v>-28</v>
      </c>
      <c r="AN47" s="1037">
        <v>-26</v>
      </c>
      <c r="AO47" s="419">
        <f>AP47-SUM(AL47,AM47,AN47)</f>
        <v>-29</v>
      </c>
      <c r="AP47" s="1132">
        <v>-107</v>
      </c>
      <c r="AQ47" s="1037">
        <v>-43</v>
      </c>
      <c r="AR47" s="1037">
        <v>-40</v>
      </c>
      <c r="AS47" s="1037">
        <v>-18</v>
      </c>
      <c r="AT47" s="1037">
        <v>-2</v>
      </c>
      <c r="AU47" s="1132">
        <v>-103</v>
      </c>
      <c r="AV47" s="1037">
        <v>-34</v>
      </c>
      <c r="AW47" s="1037">
        <v>-30</v>
      </c>
      <c r="AX47" s="1037">
        <v>-15</v>
      </c>
      <c r="AY47" s="1037">
        <v>-13</v>
      </c>
      <c r="AZ47" s="1132">
        <v>-92</v>
      </c>
      <c r="BA47" s="1037">
        <v>-37</v>
      </c>
      <c r="BB47" s="1037">
        <v>-21</v>
      </c>
      <c r="BC47" s="1037">
        <v>-14</v>
      </c>
      <c r="BD47" s="1040">
        <v>-12</v>
      </c>
      <c r="BE47" s="1132">
        <v>-84</v>
      </c>
      <c r="BF47" s="1037">
        <v>-43</v>
      </c>
      <c r="BG47" s="1037">
        <v>-33</v>
      </c>
      <c r="BH47" s="1038">
        <v>-15</v>
      </c>
      <c r="BI47" s="171">
        <f>BI36*BI108</f>
        <v>0</v>
      </c>
      <c r="BJ47" s="1133">
        <f>SUM(BF47,BG47,BH47,BI47)</f>
        <v>-91</v>
      </c>
      <c r="BK47" s="171">
        <f>BK36*BK108</f>
        <v>0</v>
      </c>
      <c r="BL47" s="171">
        <f>BL36*BL108</f>
        <v>0</v>
      </c>
      <c r="BM47" s="171">
        <f>BM36*BM108</f>
        <v>0</v>
      </c>
      <c r="BN47" s="171">
        <f>BN36*BN108</f>
        <v>0</v>
      </c>
      <c r="BO47" s="1133">
        <f>SUM(BK47,BL47,BM47,BN47)</f>
        <v>0</v>
      </c>
      <c r="BP47" s="1131">
        <f>BP36*BP108</f>
        <v>0</v>
      </c>
      <c r="BQ47" s="1131">
        <f>BQ36*BQ108</f>
        <v>0</v>
      </c>
      <c r="BR47" s="1133">
        <f>BR36*BR108</f>
        <v>0</v>
      </c>
      <c r="BS47" s="32"/>
    </row>
    <row r="48" spans="1:71" s="673" customFormat="1" ht="15">
      <c r="A48" s="618" t="s">
        <v>45</v>
      </c>
      <c r="B48" s="490"/>
      <c r="C48" s="1157"/>
      <c r="D48" s="1157"/>
      <c r="E48" s="1158">
        <v>986</v>
      </c>
      <c r="F48" s="1158">
        <v>1062</v>
      </c>
      <c r="G48" s="1158">
        <v>1142</v>
      </c>
      <c r="H48" s="1049">
        <v>201</v>
      </c>
      <c r="I48" s="1049">
        <v>248</v>
      </c>
      <c r="J48" s="1049">
        <v>407</v>
      </c>
      <c r="K48" s="1049">
        <v>299</v>
      </c>
      <c r="L48" s="1158">
        <v>1155</v>
      </c>
      <c r="M48" s="1049">
        <v>211</v>
      </c>
      <c r="N48" s="1049">
        <v>240</v>
      </c>
      <c r="O48" s="1049">
        <v>391</v>
      </c>
      <c r="P48" s="1049">
        <v>317</v>
      </c>
      <c r="Q48" s="1158">
        <v>1159</v>
      </c>
      <c r="R48" s="1049">
        <v>211</v>
      </c>
      <c r="S48" s="1049">
        <v>245</v>
      </c>
      <c r="T48" s="1049">
        <v>339</v>
      </c>
      <c r="U48" s="1049">
        <v>319</v>
      </c>
      <c r="V48" s="1158">
        <v>1114</v>
      </c>
      <c r="W48" s="1049">
        <v>208</v>
      </c>
      <c r="X48" s="1049">
        <v>232</v>
      </c>
      <c r="Y48" s="1049">
        <v>407</v>
      </c>
      <c r="Z48" s="1049">
        <v>325</v>
      </c>
      <c r="AA48" s="1158">
        <v>1172</v>
      </c>
      <c r="AB48" s="1049">
        <v>220</v>
      </c>
      <c r="AC48" s="1049">
        <v>239</v>
      </c>
      <c r="AD48" s="1049">
        <v>406</v>
      </c>
      <c r="AE48" s="1049">
        <v>327</v>
      </c>
      <c r="AF48" s="1158">
        <v>1192</v>
      </c>
      <c r="AG48" s="1049">
        <v>225</v>
      </c>
      <c r="AH48" s="1049">
        <v>259</v>
      </c>
      <c r="AI48" s="1049">
        <v>421</v>
      </c>
      <c r="AJ48" s="1049">
        <v>392</v>
      </c>
      <c r="AK48" s="1158">
        <v>1297</v>
      </c>
      <c r="AL48" s="1049">
        <v>237</v>
      </c>
      <c r="AM48" s="1049">
        <v>239</v>
      </c>
      <c r="AN48" s="1049">
        <v>403</v>
      </c>
      <c r="AO48" s="125">
        <f>AP48-SUM(AL48,AM48,AN48)</f>
        <v>329</v>
      </c>
      <c r="AP48" s="1158">
        <v>1208</v>
      </c>
      <c r="AQ48" s="1049">
        <v>221</v>
      </c>
      <c r="AR48" s="1049">
        <v>263</v>
      </c>
      <c r="AS48" s="1049">
        <v>516</v>
      </c>
      <c r="AT48" s="125">
        <f>AU48-SUM(AQ48,AR48,AS48)</f>
        <v>394</v>
      </c>
      <c r="AU48" s="1158">
        <v>1394</v>
      </c>
      <c r="AV48" s="1049">
        <v>256</v>
      </c>
      <c r="AW48" s="1049">
        <v>327</v>
      </c>
      <c r="AX48" s="1049">
        <v>663</v>
      </c>
      <c r="AY48" s="125">
        <f>AZ48-SUM(AV48,AW48,AX48)</f>
        <v>489</v>
      </c>
      <c r="AZ48" s="1158">
        <v>1735</v>
      </c>
      <c r="BA48" s="1049">
        <v>289</v>
      </c>
      <c r="BB48" s="1049">
        <v>346</v>
      </c>
      <c r="BC48" s="1049">
        <v>636</v>
      </c>
      <c r="BD48" s="288">
        <f>BE48-SUM(BA48,BB48,BC48)</f>
        <v>470</v>
      </c>
      <c r="BE48" s="1158">
        <v>1741</v>
      </c>
      <c r="BF48" s="1049">
        <v>304</v>
      </c>
      <c r="BG48" s="1049">
        <v>348</v>
      </c>
      <c r="BH48" s="1050">
        <v>777</v>
      </c>
      <c r="BI48" s="617">
        <f t="shared" si="108" ref="BI48:BR48">BI47+BI46</f>
        <v>341.29185999999993</v>
      </c>
      <c r="BJ48" s="1157">
        <f t="shared" si="108"/>
        <v>1770.2918599999998</v>
      </c>
      <c r="BK48" s="617">
        <f t="shared" si="108"/>
        <v>304.80544325000005</v>
      </c>
      <c r="BL48" s="617">
        <f t="shared" si="108"/>
        <v>422.01420800000005</v>
      </c>
      <c r="BM48" s="617">
        <f t="shared" si="108"/>
        <v>469.79694719999998</v>
      </c>
      <c r="BN48" s="617">
        <f t="shared" si="108"/>
        <v>253.04920549999997</v>
      </c>
      <c r="BO48" s="1157">
        <f t="shared" si="108"/>
        <v>1449.6658039500001</v>
      </c>
      <c r="BP48" s="1157">
        <f t="shared" si="108"/>
        <v>1618.6096606463998</v>
      </c>
      <c r="BQ48" s="1157">
        <f t="shared" si="108"/>
        <v>2338.8909596340477</v>
      </c>
      <c r="BR48" s="1157">
        <f t="shared" si="108"/>
        <v>2385.6687788267286</v>
      </c>
      <c r="BS48" s="32"/>
    </row>
    <row r="49" spans="1:71" s="673" customFormat="1" ht="15">
      <c r="A49" s="614" t="s">
        <v>545</v>
      </c>
      <c r="B49" s="480"/>
      <c r="C49" s="1131"/>
      <c r="D49" s="1131"/>
      <c r="E49" s="1131"/>
      <c r="F49" s="1140">
        <f t="shared" si="109" ref="F49:AO49">F51-F50</f>
        <v>596</v>
      </c>
      <c r="G49" s="1140">
        <f t="shared" si="109"/>
        <v>692</v>
      </c>
      <c r="H49" s="288">
        <f t="shared" si="109"/>
        <v>195</v>
      </c>
      <c r="I49" s="288">
        <f t="shared" si="109"/>
        <v>303</v>
      </c>
      <c r="J49" s="288">
        <f t="shared" si="109"/>
        <v>302</v>
      </c>
      <c r="K49" s="288">
        <f t="shared" si="109"/>
        <v>310</v>
      </c>
      <c r="L49" s="1140">
        <f t="shared" si="109"/>
        <v>1110</v>
      </c>
      <c r="M49" s="288">
        <f t="shared" si="109"/>
        <v>315</v>
      </c>
      <c r="N49" s="288">
        <f t="shared" si="109"/>
        <v>317</v>
      </c>
      <c r="O49" s="288">
        <f t="shared" si="109"/>
        <v>319</v>
      </c>
      <c r="P49" s="288">
        <f t="shared" si="109"/>
        <v>321</v>
      </c>
      <c r="Q49" s="1140">
        <f t="shared" si="109"/>
        <v>1272</v>
      </c>
      <c r="R49" s="288">
        <f t="shared" si="109"/>
        <v>316</v>
      </c>
      <c r="S49" s="288">
        <f t="shared" si="109"/>
        <v>336</v>
      </c>
      <c r="T49" s="288">
        <f t="shared" si="109"/>
        <v>330</v>
      </c>
      <c r="U49" s="288">
        <f t="shared" si="109"/>
        <v>341</v>
      </c>
      <c r="V49" s="1140">
        <f t="shared" si="109"/>
        <v>1323</v>
      </c>
      <c r="W49" s="288">
        <f t="shared" si="109"/>
        <v>336</v>
      </c>
      <c r="X49" s="288">
        <f t="shared" si="109"/>
        <v>342</v>
      </c>
      <c r="Y49" s="288">
        <f t="shared" si="109"/>
        <v>371</v>
      </c>
      <c r="Z49" s="288">
        <f t="shared" si="109"/>
        <v>376</v>
      </c>
      <c r="AA49" s="1140">
        <f t="shared" si="109"/>
        <v>1425</v>
      </c>
      <c r="AB49" s="288">
        <f t="shared" si="109"/>
        <v>375</v>
      </c>
      <c r="AC49" s="288">
        <f t="shared" si="109"/>
        <v>392</v>
      </c>
      <c r="AD49" s="288">
        <f t="shared" si="109"/>
        <v>390</v>
      </c>
      <c r="AE49" s="288">
        <f t="shared" si="109"/>
        <v>413</v>
      </c>
      <c r="AF49" s="1140">
        <f t="shared" si="109"/>
        <v>1570</v>
      </c>
      <c r="AG49" s="288">
        <f t="shared" si="109"/>
        <v>400</v>
      </c>
      <c r="AH49" s="288">
        <f t="shared" si="109"/>
        <v>410</v>
      </c>
      <c r="AI49" s="288">
        <f t="shared" si="109"/>
        <v>425</v>
      </c>
      <c r="AJ49" s="288">
        <f t="shared" si="109"/>
        <v>422</v>
      </c>
      <c r="AK49" s="1140">
        <f t="shared" si="109"/>
        <v>1657</v>
      </c>
      <c r="AL49" s="288">
        <f t="shared" si="109"/>
        <v>364</v>
      </c>
      <c r="AM49" s="288">
        <f t="shared" si="109"/>
        <v>360</v>
      </c>
      <c r="AN49" s="288">
        <f t="shared" si="109"/>
        <v>366</v>
      </c>
      <c r="AO49" s="288">
        <f t="shared" si="109"/>
        <v>329</v>
      </c>
      <c r="AP49" s="1140">
        <f t="shared" si="110" ref="AP49:AU49">AP51-AP50</f>
        <v>1419</v>
      </c>
      <c r="AQ49" s="288">
        <f t="shared" si="110"/>
        <v>362</v>
      </c>
      <c r="AR49" s="288">
        <f t="shared" si="110"/>
        <v>381</v>
      </c>
      <c r="AS49" s="288">
        <f t="shared" si="110"/>
        <v>387</v>
      </c>
      <c r="AT49" s="288">
        <f t="shared" si="110"/>
        <v>391</v>
      </c>
      <c r="AU49" s="1140">
        <f t="shared" si="110"/>
        <v>1521</v>
      </c>
      <c r="AV49" s="288">
        <f t="shared" si="111" ref="AV49:BA49">AV51-AV50</f>
        <v>392</v>
      </c>
      <c r="AW49" s="288">
        <f t="shared" si="111"/>
        <v>403</v>
      </c>
      <c r="AX49" s="288">
        <f t="shared" si="111"/>
        <v>413</v>
      </c>
      <c r="AY49" s="288">
        <f t="shared" si="111"/>
        <v>424</v>
      </c>
      <c r="AZ49" s="1140">
        <f t="shared" si="111"/>
        <v>1632</v>
      </c>
      <c r="BA49" s="288">
        <f t="shared" si="111"/>
        <v>441</v>
      </c>
      <c r="BB49" s="288">
        <f t="shared" si="112" ref="BB49:BG49">BB51-BB50</f>
        <v>437</v>
      </c>
      <c r="BC49" s="288">
        <f t="shared" si="112"/>
        <v>468</v>
      </c>
      <c r="BD49" s="288">
        <f t="shared" si="112"/>
        <v>467</v>
      </c>
      <c r="BE49" s="1140">
        <f t="shared" si="112"/>
        <v>1813</v>
      </c>
      <c r="BF49" s="288">
        <f t="shared" si="112"/>
        <v>458</v>
      </c>
      <c r="BG49" s="288">
        <f t="shared" si="112"/>
        <v>448</v>
      </c>
      <c r="BH49" s="875">
        <f>BH51-BH50</f>
        <v>461</v>
      </c>
      <c r="BI49" s="171">
        <f>BI37*BI110</f>
        <v>397.90531799999985</v>
      </c>
      <c r="BJ49" s="1133">
        <f>SUM(BF49,BG49,BH49,BI49)</f>
        <v>1764.9053179999999</v>
      </c>
      <c r="BK49" s="171">
        <f>BK37*BK110</f>
        <v>430.00864200000007</v>
      </c>
      <c r="BL49" s="171">
        <f>BL37*BL110</f>
        <v>370.67382000000003</v>
      </c>
      <c r="BM49" s="171">
        <f>BM37*BM110</f>
        <v>411.21060750000009</v>
      </c>
      <c r="BN49" s="171">
        <f>BN37*BN110</f>
        <v>449.63300933999983</v>
      </c>
      <c r="BO49" s="1133">
        <f>SUM(BK49,BL49,BM49,BN49)</f>
        <v>1661.5260788400001</v>
      </c>
      <c r="BP49" s="1131">
        <f>BP37*BP110</f>
        <v>2149.1912601337499</v>
      </c>
      <c r="BQ49" s="1131">
        <f>BQ37*BQ110</f>
        <v>2630.6101024037098</v>
      </c>
      <c r="BR49" s="1133">
        <f>BR37*BR110</f>
        <v>2841.0589105960066</v>
      </c>
      <c r="BS49" s="32"/>
    </row>
    <row r="50" spans="1:71" s="673" customFormat="1" ht="15">
      <c r="A50" s="614" t="s">
        <v>542</v>
      </c>
      <c r="B50" s="480"/>
      <c r="C50" s="1131"/>
      <c r="D50" s="1131"/>
      <c r="E50" s="1131"/>
      <c r="F50" s="1132">
        <v>3</v>
      </c>
      <c r="G50" s="1132">
        <v>1</v>
      </c>
      <c r="H50" s="1037">
        <v>1</v>
      </c>
      <c r="I50" s="1037">
        <v>1</v>
      </c>
      <c r="J50" s="1037">
        <v>1</v>
      </c>
      <c r="K50" s="288">
        <f>L50-SUM(H50,I50,J50)</f>
        <v>1</v>
      </c>
      <c r="L50" s="1132">
        <v>4</v>
      </c>
      <c r="M50" s="1037">
        <v>1</v>
      </c>
      <c r="N50" s="1037">
        <v>1</v>
      </c>
      <c r="O50" s="1037">
        <v>1</v>
      </c>
      <c r="P50" s="288">
        <f>Q50-SUM(M50,N50,O50)</f>
        <v>1</v>
      </c>
      <c r="Q50" s="1132">
        <v>4</v>
      </c>
      <c r="R50" s="1037">
        <v>1</v>
      </c>
      <c r="S50" s="1037">
        <v>3</v>
      </c>
      <c r="T50" s="1037">
        <v>2</v>
      </c>
      <c r="U50" s="288">
        <f>V50-SUM(R50,S50,T50)</f>
        <v>4</v>
      </c>
      <c r="V50" s="1132">
        <v>10</v>
      </c>
      <c r="W50" s="1037">
        <v>1</v>
      </c>
      <c r="X50" s="1037">
        <v>2</v>
      </c>
      <c r="Y50" s="1037">
        <v>54</v>
      </c>
      <c r="Z50" s="288">
        <f>AA50-SUM(W50,X50,Y50)</f>
        <v>14</v>
      </c>
      <c r="AA50" s="1132">
        <v>71</v>
      </c>
      <c r="AB50" s="1037">
        <v>5</v>
      </c>
      <c r="AC50" s="1037">
        <v>1</v>
      </c>
      <c r="AD50" s="1037">
        <v>11</v>
      </c>
      <c r="AE50" s="288">
        <f>AF50-SUM(AB50,AC50,AD50)</f>
        <v>28</v>
      </c>
      <c r="AF50" s="1132">
        <v>45</v>
      </c>
      <c r="AG50" s="1037">
        <v>1</v>
      </c>
      <c r="AH50" s="1037">
        <v>1</v>
      </c>
      <c r="AI50" s="1037">
        <v>10</v>
      </c>
      <c r="AJ50" s="288">
        <f>AK50-SUM(AG50,AH50,AI50)</f>
        <v>5</v>
      </c>
      <c r="AK50" s="1132">
        <v>17</v>
      </c>
      <c r="AL50" s="1037">
        <v>0</v>
      </c>
      <c r="AM50" s="1037">
        <v>58</v>
      </c>
      <c r="AN50" s="1037">
        <v>2</v>
      </c>
      <c r="AO50" s="288">
        <f>AP50-SUM(AL50,AM50,AN50)</f>
        <v>14</v>
      </c>
      <c r="AP50" s="1132">
        <v>74</v>
      </c>
      <c r="AQ50" s="1037">
        <v>8</v>
      </c>
      <c r="AR50" s="1037">
        <v>2</v>
      </c>
      <c r="AS50" s="1037">
        <v>4</v>
      </c>
      <c r="AT50" s="288">
        <f>AU50-SUM(AQ50,AR50,AS50)</f>
        <v>4</v>
      </c>
      <c r="AU50" s="1132">
        <v>18</v>
      </c>
      <c r="AV50" s="1037">
        <v>1</v>
      </c>
      <c r="AW50" s="1037">
        <v>0</v>
      </c>
      <c r="AX50" s="1037">
        <f>1+2</f>
        <v>3</v>
      </c>
      <c r="AY50" s="288">
        <f>AZ50-SUM(AV50,AW50,AX50)</f>
        <v>7</v>
      </c>
      <c r="AZ50" s="1132">
        <v>11</v>
      </c>
      <c r="BA50" s="1037">
        <v>3</v>
      </c>
      <c r="BB50" s="1037">
        <v>8</v>
      </c>
      <c r="BC50" s="1037">
        <v>17</v>
      </c>
      <c r="BD50" s="288">
        <f>BE50-SUM(BA50,BB50,BC50)</f>
        <v>8</v>
      </c>
      <c r="BE50" s="1132">
        <v>36</v>
      </c>
      <c r="BF50" s="1037">
        <v>16</v>
      </c>
      <c r="BG50" s="1037">
        <v>5</v>
      </c>
      <c r="BH50" s="1038">
        <v>16</v>
      </c>
      <c r="BI50" s="171">
        <f>BI37*BI111</f>
        <v>0</v>
      </c>
      <c r="BJ50" s="1133">
        <f>SUM(BF50,BG50,BH50,BI50)</f>
        <v>37</v>
      </c>
      <c r="BK50" s="171">
        <f>BK37*BK111</f>
        <v>0</v>
      </c>
      <c r="BL50" s="171">
        <f>BL37*BL111</f>
        <v>0</v>
      </c>
      <c r="BM50" s="171">
        <f>BM37*BM111</f>
        <v>0</v>
      </c>
      <c r="BN50" s="171">
        <f>BN37*BN111</f>
        <v>0</v>
      </c>
      <c r="BO50" s="1133">
        <f>SUM(BK50,BL50,BM50,BN50)</f>
        <v>0</v>
      </c>
      <c r="BP50" s="1131">
        <f>BP37*BP111</f>
        <v>0</v>
      </c>
      <c r="BQ50" s="1131">
        <f>BQ37*BQ111</f>
        <v>0</v>
      </c>
      <c r="BR50" s="1133">
        <f>BR37*BR111</f>
        <v>0</v>
      </c>
      <c r="BS50" s="32"/>
    </row>
    <row r="51" spans="1:71" s="673" customFormat="1" ht="15">
      <c r="A51" s="615" t="s">
        <v>543</v>
      </c>
      <c r="B51" s="490"/>
      <c r="C51" s="1157"/>
      <c r="D51" s="1157"/>
      <c r="E51" s="1157"/>
      <c r="F51" s="1159">
        <f t="shared" si="113" ref="F51:AO51">F53-F52</f>
        <v>599</v>
      </c>
      <c r="G51" s="1159">
        <f t="shared" si="113"/>
        <v>693</v>
      </c>
      <c r="H51" s="125">
        <f t="shared" si="113"/>
        <v>196</v>
      </c>
      <c r="I51" s="125">
        <f t="shared" si="113"/>
        <v>304</v>
      </c>
      <c r="J51" s="125">
        <f t="shared" si="113"/>
        <v>303</v>
      </c>
      <c r="K51" s="125">
        <f t="shared" si="113"/>
        <v>311</v>
      </c>
      <c r="L51" s="1159">
        <f t="shared" si="113"/>
        <v>1114</v>
      </c>
      <c r="M51" s="125">
        <f t="shared" si="113"/>
        <v>316</v>
      </c>
      <c r="N51" s="125">
        <f t="shared" si="113"/>
        <v>318</v>
      </c>
      <c r="O51" s="125">
        <f t="shared" si="113"/>
        <v>320</v>
      </c>
      <c r="P51" s="125">
        <f t="shared" si="113"/>
        <v>322</v>
      </c>
      <c r="Q51" s="1159">
        <f t="shared" si="113"/>
        <v>1276</v>
      </c>
      <c r="R51" s="125">
        <f t="shared" si="113"/>
        <v>317</v>
      </c>
      <c r="S51" s="125">
        <f t="shared" si="113"/>
        <v>339</v>
      </c>
      <c r="T51" s="125">
        <f t="shared" si="113"/>
        <v>332</v>
      </c>
      <c r="U51" s="125">
        <f t="shared" si="113"/>
        <v>345</v>
      </c>
      <c r="V51" s="1159">
        <f t="shared" si="113"/>
        <v>1333</v>
      </c>
      <c r="W51" s="125">
        <f t="shared" si="113"/>
        <v>337</v>
      </c>
      <c r="X51" s="125">
        <f t="shared" si="113"/>
        <v>344</v>
      </c>
      <c r="Y51" s="125">
        <f t="shared" si="113"/>
        <v>425</v>
      </c>
      <c r="Z51" s="125">
        <f t="shared" si="113"/>
        <v>390</v>
      </c>
      <c r="AA51" s="1159">
        <f t="shared" si="113"/>
        <v>1496</v>
      </c>
      <c r="AB51" s="125">
        <f t="shared" si="113"/>
        <v>380</v>
      </c>
      <c r="AC51" s="125">
        <f t="shared" si="113"/>
        <v>393</v>
      </c>
      <c r="AD51" s="125">
        <f t="shared" si="113"/>
        <v>401</v>
      </c>
      <c r="AE51" s="125">
        <f t="shared" si="113"/>
        <v>441</v>
      </c>
      <c r="AF51" s="1159">
        <f t="shared" si="113"/>
        <v>1615</v>
      </c>
      <c r="AG51" s="125">
        <f t="shared" si="113"/>
        <v>401</v>
      </c>
      <c r="AH51" s="125">
        <f t="shared" si="113"/>
        <v>411</v>
      </c>
      <c r="AI51" s="125">
        <f t="shared" si="113"/>
        <v>435</v>
      </c>
      <c r="AJ51" s="125">
        <f t="shared" si="113"/>
        <v>427</v>
      </c>
      <c r="AK51" s="1159">
        <f t="shared" si="113"/>
        <v>1674</v>
      </c>
      <c r="AL51" s="125">
        <f t="shared" si="113"/>
        <v>364</v>
      </c>
      <c r="AM51" s="125">
        <f t="shared" si="113"/>
        <v>418</v>
      </c>
      <c r="AN51" s="125">
        <f t="shared" si="113"/>
        <v>368</v>
      </c>
      <c r="AO51" s="125">
        <f t="shared" si="113"/>
        <v>343</v>
      </c>
      <c r="AP51" s="1159">
        <f t="shared" si="114" ref="AP51:AU51">AP53-AP52</f>
        <v>1493</v>
      </c>
      <c r="AQ51" s="125">
        <f t="shared" si="114"/>
        <v>370</v>
      </c>
      <c r="AR51" s="125">
        <f t="shared" si="114"/>
        <v>383</v>
      </c>
      <c r="AS51" s="125">
        <f t="shared" si="114"/>
        <v>391</v>
      </c>
      <c r="AT51" s="125">
        <f t="shared" si="114"/>
        <v>395</v>
      </c>
      <c r="AU51" s="1159">
        <f t="shared" si="114"/>
        <v>1539</v>
      </c>
      <c r="AV51" s="125">
        <f t="shared" si="115" ref="AV51:BA51">AV53-AV52</f>
        <v>393</v>
      </c>
      <c r="AW51" s="125">
        <f t="shared" si="115"/>
        <v>403</v>
      </c>
      <c r="AX51" s="125">
        <f t="shared" si="115"/>
        <v>416</v>
      </c>
      <c r="AY51" s="125">
        <f t="shared" si="115"/>
        <v>431</v>
      </c>
      <c r="AZ51" s="1159">
        <f t="shared" si="115"/>
        <v>1643</v>
      </c>
      <c r="BA51" s="125">
        <f t="shared" si="115"/>
        <v>444</v>
      </c>
      <c r="BB51" s="125">
        <f t="shared" si="116" ref="BB51:BG51">BB53-BB52</f>
        <v>445</v>
      </c>
      <c r="BC51" s="125">
        <f t="shared" si="116"/>
        <v>485</v>
      </c>
      <c r="BD51" s="125">
        <f t="shared" si="116"/>
        <v>475</v>
      </c>
      <c r="BE51" s="1159">
        <f t="shared" si="116"/>
        <v>1849</v>
      </c>
      <c r="BF51" s="125">
        <f t="shared" si="116"/>
        <v>474</v>
      </c>
      <c r="BG51" s="125">
        <f t="shared" si="116"/>
        <v>453</v>
      </c>
      <c r="BH51" s="880">
        <f>BH53-BH52</f>
        <v>477</v>
      </c>
      <c r="BI51" s="617">
        <f t="shared" si="117" ref="BI51:BR51">BI49+BI50</f>
        <v>397.90531799999985</v>
      </c>
      <c r="BJ51" s="1157">
        <f t="shared" si="117"/>
        <v>1801.9053179999999</v>
      </c>
      <c r="BK51" s="617">
        <f t="shared" si="117"/>
        <v>430.00864200000007</v>
      </c>
      <c r="BL51" s="617">
        <f t="shared" si="117"/>
        <v>370.67382000000003</v>
      </c>
      <c r="BM51" s="617">
        <f t="shared" si="117"/>
        <v>411.21060750000009</v>
      </c>
      <c r="BN51" s="617">
        <f t="shared" si="117"/>
        <v>449.63300933999983</v>
      </c>
      <c r="BO51" s="1157">
        <f t="shared" si="117"/>
        <v>1661.5260788400001</v>
      </c>
      <c r="BP51" s="1157">
        <f t="shared" si="117"/>
        <v>2149.1912601337499</v>
      </c>
      <c r="BQ51" s="1157">
        <f t="shared" si="117"/>
        <v>2630.6101024037098</v>
      </c>
      <c r="BR51" s="1157">
        <f t="shared" si="117"/>
        <v>2841.0589105960066</v>
      </c>
      <c r="BS51" s="32"/>
    </row>
    <row r="52" spans="1:71" s="673" customFormat="1" ht="15">
      <c r="A52" s="613" t="s">
        <v>544</v>
      </c>
      <c r="B52" s="480"/>
      <c r="C52" s="1131"/>
      <c r="D52" s="1131"/>
      <c r="E52" s="1131"/>
      <c r="F52" s="1132">
        <v>-18</v>
      </c>
      <c r="G52" s="1132">
        <v>-40</v>
      </c>
      <c r="H52" s="1037">
        <v>-24</v>
      </c>
      <c r="I52" s="1037">
        <v>-4</v>
      </c>
      <c r="J52" s="1037">
        <v>7</v>
      </c>
      <c r="K52" s="288">
        <f>L52-SUM(H52,I52,J52)</f>
        <v>14</v>
      </c>
      <c r="L52" s="1132">
        <v>-7</v>
      </c>
      <c r="M52" s="1037">
        <v>0</v>
      </c>
      <c r="N52" s="1037">
        <v>-7</v>
      </c>
      <c r="O52" s="1037">
        <v>3</v>
      </c>
      <c r="P52" s="288">
        <f>Q52-SUM(M52,N52,O52)</f>
        <v>-7</v>
      </c>
      <c r="Q52" s="1132">
        <v>-11</v>
      </c>
      <c r="R52" s="1037">
        <v>-4</v>
      </c>
      <c r="S52" s="1037">
        <v>-10</v>
      </c>
      <c r="T52" s="1037">
        <v>-2</v>
      </c>
      <c r="U52" s="288">
        <f>V52-SUM(R52,S52,T52)</f>
        <v>3</v>
      </c>
      <c r="V52" s="1132">
        <v>-13</v>
      </c>
      <c r="W52" s="1037">
        <v>-6</v>
      </c>
      <c r="X52" s="1037">
        <v>-5</v>
      </c>
      <c r="Y52" s="1037">
        <v>-23</v>
      </c>
      <c r="Z52" s="288">
        <f>AA52-SUM(W52,X52,Y52)</f>
        <v>-52</v>
      </c>
      <c r="AA52" s="1132">
        <v>-86</v>
      </c>
      <c r="AB52" s="1037">
        <v>-35</v>
      </c>
      <c r="AC52" s="1037">
        <v>-15</v>
      </c>
      <c r="AD52" s="1037">
        <v>-37</v>
      </c>
      <c r="AE52" s="288">
        <f>AF52-SUM(AB52,AC52,AD52)</f>
        <v>-52</v>
      </c>
      <c r="AF52" s="1132">
        <v>-139</v>
      </c>
      <c r="AG52" s="1037">
        <v>-13</v>
      </c>
      <c r="AH52" s="1037">
        <v>-31</v>
      </c>
      <c r="AI52" s="1037">
        <v>-19</v>
      </c>
      <c r="AJ52" s="288">
        <f>AK52-SUM(AG52,AH52,AI52)</f>
        <v>-25</v>
      </c>
      <c r="AK52" s="1132">
        <v>-88</v>
      </c>
      <c r="AL52" s="1037">
        <v>-24</v>
      </c>
      <c r="AM52" s="1037">
        <v>-51</v>
      </c>
      <c r="AN52" s="1037">
        <v>-16</v>
      </c>
      <c r="AO52" s="288">
        <f>AP52-SUM(AL52,AM52,AN52)</f>
        <v>-6</v>
      </c>
      <c r="AP52" s="1132">
        <v>-97</v>
      </c>
      <c r="AQ52" s="1037">
        <v>-9</v>
      </c>
      <c r="AR52" s="1037">
        <v>-20</v>
      </c>
      <c r="AS52" s="1037">
        <v>-56</v>
      </c>
      <c r="AT52" s="288">
        <f>AU52-SUM(AQ52,AR52,AS52)</f>
        <v>-55</v>
      </c>
      <c r="AU52" s="1132">
        <v>-140</v>
      </c>
      <c r="AV52" s="1037">
        <v>-49</v>
      </c>
      <c r="AW52" s="1037">
        <v>-49</v>
      </c>
      <c r="AX52" s="1037">
        <v>-42</v>
      </c>
      <c r="AY52" s="288">
        <f>AZ52-SUM(AV52,AW52,AX52)</f>
        <v>-50</v>
      </c>
      <c r="AZ52" s="1132">
        <v>-190</v>
      </c>
      <c r="BA52" s="1037">
        <v>-27</v>
      </c>
      <c r="BB52" s="1037">
        <v>-24</v>
      </c>
      <c r="BC52" s="1037">
        <v>-22</v>
      </c>
      <c r="BD52" s="288">
        <f>BE52-SUM(BA52,BB52,BC52)</f>
        <v>-37</v>
      </c>
      <c r="BE52" s="1132">
        <v>-110</v>
      </c>
      <c r="BF52" s="1037">
        <v>-17</v>
      </c>
      <c r="BG52" s="1037">
        <v>-25</v>
      </c>
      <c r="BH52" s="1038">
        <v>-4</v>
      </c>
      <c r="BI52" s="171">
        <f>BI37*BI113</f>
        <v>0</v>
      </c>
      <c r="BJ52" s="1133">
        <f>SUM(BF52,BG52,BH52,BI52)</f>
        <v>-46</v>
      </c>
      <c r="BK52" s="171">
        <f>BK37*BK113</f>
        <v>0</v>
      </c>
      <c r="BL52" s="171">
        <f>BL37*BL113</f>
        <v>0</v>
      </c>
      <c r="BM52" s="171">
        <f>BM37*BM113</f>
        <v>0</v>
      </c>
      <c r="BN52" s="171">
        <f>BN37*BN113</f>
        <v>0</v>
      </c>
      <c r="BO52" s="1133">
        <f>SUM(BK52,BL52,BM52,BN52)</f>
        <v>0</v>
      </c>
      <c r="BP52" s="1131">
        <f>BP37*BP113</f>
        <v>0</v>
      </c>
      <c r="BQ52" s="1131">
        <f>BQ37*BQ113</f>
        <v>0</v>
      </c>
      <c r="BR52" s="1133">
        <f>BR37*BR113</f>
        <v>0</v>
      </c>
      <c r="BS52" s="32"/>
    </row>
    <row r="53" spans="1:71" s="673" customFormat="1" ht="15">
      <c r="A53" s="618" t="s">
        <v>46</v>
      </c>
      <c r="B53" s="490"/>
      <c r="C53" s="1157"/>
      <c r="D53" s="1157"/>
      <c r="E53" s="1158">
        <v>531</v>
      </c>
      <c r="F53" s="1158">
        <v>581</v>
      </c>
      <c r="G53" s="1158">
        <v>653</v>
      </c>
      <c r="H53" s="1049">
        <v>172</v>
      </c>
      <c r="I53" s="1049">
        <v>300</v>
      </c>
      <c r="J53" s="1049">
        <v>310</v>
      </c>
      <c r="K53" s="1049">
        <v>325</v>
      </c>
      <c r="L53" s="1158">
        <v>1107</v>
      </c>
      <c r="M53" s="1049">
        <v>316</v>
      </c>
      <c r="N53" s="1049">
        <v>311</v>
      </c>
      <c r="O53" s="1049">
        <v>323</v>
      </c>
      <c r="P53" s="1049">
        <v>315</v>
      </c>
      <c r="Q53" s="1158">
        <v>1265</v>
      </c>
      <c r="R53" s="1049">
        <v>313</v>
      </c>
      <c r="S53" s="1049">
        <v>329</v>
      </c>
      <c r="T53" s="1049">
        <v>330</v>
      </c>
      <c r="U53" s="1049">
        <v>348</v>
      </c>
      <c r="V53" s="1158">
        <v>1320</v>
      </c>
      <c r="W53" s="1049">
        <v>331</v>
      </c>
      <c r="X53" s="1049">
        <v>339</v>
      </c>
      <c r="Y53" s="1049">
        <v>402</v>
      </c>
      <c r="Z53" s="1049">
        <v>338</v>
      </c>
      <c r="AA53" s="1158">
        <v>1410</v>
      </c>
      <c r="AB53" s="1049">
        <v>345</v>
      </c>
      <c r="AC53" s="1049">
        <v>378</v>
      </c>
      <c r="AD53" s="1049">
        <v>364</v>
      </c>
      <c r="AE53" s="1049">
        <v>389</v>
      </c>
      <c r="AF53" s="1158">
        <v>1476</v>
      </c>
      <c r="AG53" s="1049">
        <v>388</v>
      </c>
      <c r="AH53" s="1049">
        <v>380</v>
      </c>
      <c r="AI53" s="1049">
        <v>416</v>
      </c>
      <c r="AJ53" s="1049">
        <v>402</v>
      </c>
      <c r="AK53" s="1158">
        <v>1586</v>
      </c>
      <c r="AL53" s="1049">
        <v>340</v>
      </c>
      <c r="AM53" s="1049">
        <v>367</v>
      </c>
      <c r="AN53" s="1049">
        <v>352</v>
      </c>
      <c r="AO53" s="125">
        <f>AP53-SUM(AL53,AM53,AN53)</f>
        <v>337</v>
      </c>
      <c r="AP53" s="1158">
        <v>1396</v>
      </c>
      <c r="AQ53" s="1049">
        <v>361</v>
      </c>
      <c r="AR53" s="1049">
        <v>363</v>
      </c>
      <c r="AS53" s="1049">
        <v>335</v>
      </c>
      <c r="AT53" s="125">
        <f>AU53-SUM(AQ53,AR53,AS53)</f>
        <v>340</v>
      </c>
      <c r="AU53" s="1158">
        <v>1399</v>
      </c>
      <c r="AV53" s="1049">
        <v>344</v>
      </c>
      <c r="AW53" s="1049">
        <v>354</v>
      </c>
      <c r="AX53" s="1049">
        <v>374</v>
      </c>
      <c r="AY53" s="125">
        <f>AZ53-SUM(AV53,AW53,AX53)</f>
        <v>381</v>
      </c>
      <c r="AZ53" s="1158">
        <v>1453</v>
      </c>
      <c r="BA53" s="1049">
        <v>417</v>
      </c>
      <c r="BB53" s="1049">
        <v>421</v>
      </c>
      <c r="BC53" s="1049">
        <v>463</v>
      </c>
      <c r="BD53" s="125">
        <f>BE53-SUM(BA53,BB53,BC53)</f>
        <v>438</v>
      </c>
      <c r="BE53" s="1158">
        <v>1739</v>
      </c>
      <c r="BF53" s="1049">
        <v>457</v>
      </c>
      <c r="BG53" s="1049">
        <v>428</v>
      </c>
      <c r="BH53" s="1050">
        <v>473</v>
      </c>
      <c r="BI53" s="617">
        <f>BI51+BI52</f>
        <v>397.90531799999985</v>
      </c>
      <c r="BJ53" s="1157">
        <f>SUM(BF53,BG53,BH53,BI53)</f>
        <v>1755.9053179999999</v>
      </c>
      <c r="BK53" s="617">
        <f>BK51+BK52</f>
        <v>430.00864200000007</v>
      </c>
      <c r="BL53" s="617">
        <f>BL51+BL52</f>
        <v>370.67382000000003</v>
      </c>
      <c r="BM53" s="617">
        <f>BM51+BM52</f>
        <v>411.21060750000009</v>
      </c>
      <c r="BN53" s="617">
        <f>BN51+BN52</f>
        <v>449.63300933999983</v>
      </c>
      <c r="BO53" s="1157">
        <f>SUM(BK53,BL53,BM53,BN53)</f>
        <v>1661.5260788400001</v>
      </c>
      <c r="BP53" s="1157">
        <f>BP51+BP52</f>
        <v>2149.1912601337499</v>
      </c>
      <c r="BQ53" s="1157">
        <f>BQ51+BQ52</f>
        <v>2630.6101024037098</v>
      </c>
      <c r="BR53" s="1157">
        <f>BR51+BR52</f>
        <v>2841.0589105960066</v>
      </c>
      <c r="BS53" s="32"/>
    </row>
    <row r="54" spans="1:71" s="673" customFormat="1" ht="15">
      <c r="A54" s="614" t="s">
        <v>549</v>
      </c>
      <c r="B54" s="480"/>
      <c r="C54" s="1131"/>
      <c r="D54" s="1131"/>
      <c r="E54" s="1131"/>
      <c r="F54" s="1140">
        <f t="shared" si="118" ref="F54:AO54">F56-F55</f>
        <v>181</v>
      </c>
      <c r="G54" s="1140">
        <f t="shared" si="118"/>
        <v>169</v>
      </c>
      <c r="H54" s="288">
        <f t="shared" si="118"/>
        <v>44</v>
      </c>
      <c r="I54" s="288">
        <f t="shared" si="118"/>
        <v>41</v>
      </c>
      <c r="J54" s="288">
        <f t="shared" si="118"/>
        <v>42</v>
      </c>
      <c r="K54" s="288">
        <f t="shared" si="118"/>
        <v>46</v>
      </c>
      <c r="L54" s="1140">
        <f t="shared" si="118"/>
        <v>173</v>
      </c>
      <c r="M54" s="288">
        <f t="shared" si="118"/>
        <v>44</v>
      </c>
      <c r="N54" s="288">
        <f t="shared" si="118"/>
        <v>42</v>
      </c>
      <c r="O54" s="288">
        <f t="shared" si="118"/>
        <v>43</v>
      </c>
      <c r="P54" s="288">
        <f t="shared" si="118"/>
        <v>46</v>
      </c>
      <c r="Q54" s="1140">
        <f t="shared" si="118"/>
        <v>175</v>
      </c>
      <c r="R54" s="288">
        <f t="shared" si="118"/>
        <v>48</v>
      </c>
      <c r="S54" s="288">
        <f t="shared" si="118"/>
        <v>46</v>
      </c>
      <c r="T54" s="288">
        <f t="shared" si="118"/>
        <v>46</v>
      </c>
      <c r="U54" s="288">
        <f t="shared" si="118"/>
        <v>50</v>
      </c>
      <c r="V54" s="1140">
        <f t="shared" si="118"/>
        <v>190</v>
      </c>
      <c r="W54" s="288">
        <f t="shared" si="118"/>
        <v>60</v>
      </c>
      <c r="X54" s="288">
        <f t="shared" si="118"/>
        <v>52</v>
      </c>
      <c r="Y54" s="288">
        <f t="shared" si="118"/>
        <v>55</v>
      </c>
      <c r="Z54" s="288">
        <f t="shared" si="118"/>
        <v>51</v>
      </c>
      <c r="AA54" s="1140">
        <f t="shared" si="118"/>
        <v>218</v>
      </c>
      <c r="AB54" s="288">
        <f t="shared" si="118"/>
        <v>60</v>
      </c>
      <c r="AC54" s="288">
        <f t="shared" si="118"/>
        <v>59</v>
      </c>
      <c r="AD54" s="288">
        <f t="shared" si="118"/>
        <v>56</v>
      </c>
      <c r="AE54" s="288">
        <f t="shared" si="118"/>
        <v>48</v>
      </c>
      <c r="AF54" s="1140">
        <f t="shared" si="118"/>
        <v>223</v>
      </c>
      <c r="AG54" s="288">
        <f t="shared" si="118"/>
        <v>60</v>
      </c>
      <c r="AH54" s="288">
        <f t="shared" si="118"/>
        <v>55</v>
      </c>
      <c r="AI54" s="288">
        <f t="shared" si="118"/>
        <v>53</v>
      </c>
      <c r="AJ54" s="288">
        <f t="shared" si="118"/>
        <v>52</v>
      </c>
      <c r="AK54" s="1140">
        <f t="shared" si="118"/>
        <v>220</v>
      </c>
      <c r="AL54" s="288">
        <f t="shared" si="118"/>
        <v>60</v>
      </c>
      <c r="AM54" s="288">
        <f t="shared" si="118"/>
        <v>41</v>
      </c>
      <c r="AN54" s="288">
        <f t="shared" si="118"/>
        <v>59</v>
      </c>
      <c r="AO54" s="288">
        <f t="shared" si="118"/>
        <v>58</v>
      </c>
      <c r="AP54" s="1140">
        <f t="shared" si="119" ref="AP54:AU54">AP56-AP55</f>
        <v>218</v>
      </c>
      <c r="AQ54" s="288">
        <f t="shared" si="119"/>
        <v>55</v>
      </c>
      <c r="AR54" s="288">
        <f t="shared" si="119"/>
        <v>60</v>
      </c>
      <c r="AS54" s="288">
        <f t="shared" si="119"/>
        <v>58</v>
      </c>
      <c r="AT54" s="288">
        <f t="shared" si="119"/>
        <v>58</v>
      </c>
      <c r="AU54" s="1140">
        <f t="shared" si="119"/>
        <v>231</v>
      </c>
      <c r="AV54" s="288">
        <f t="shared" si="120" ref="AV54:BA54">AV56-AV55</f>
        <v>59</v>
      </c>
      <c r="AW54" s="288">
        <f t="shared" si="120"/>
        <v>56</v>
      </c>
      <c r="AX54" s="288">
        <f t="shared" si="120"/>
        <v>57</v>
      </c>
      <c r="AY54" s="288">
        <f t="shared" si="120"/>
        <v>77</v>
      </c>
      <c r="AZ54" s="1140">
        <f t="shared" si="120"/>
        <v>249</v>
      </c>
      <c r="BA54" s="288">
        <f t="shared" si="120"/>
        <v>70</v>
      </c>
      <c r="BB54" s="288">
        <f t="shared" si="121" ref="BB54:BG54">BB56-BB55</f>
        <v>71</v>
      </c>
      <c r="BC54" s="288">
        <f t="shared" si="121"/>
        <v>81</v>
      </c>
      <c r="BD54" s="288">
        <f t="shared" si="121"/>
        <v>89</v>
      </c>
      <c r="BE54" s="1140">
        <f t="shared" si="121"/>
        <v>311</v>
      </c>
      <c r="BF54" s="288">
        <f t="shared" si="121"/>
        <v>84</v>
      </c>
      <c r="BG54" s="288">
        <f t="shared" si="121"/>
        <v>84</v>
      </c>
      <c r="BH54" s="875">
        <f>BH56-BH55</f>
        <v>85</v>
      </c>
      <c r="BI54" s="171">
        <f>BI38*BI115</f>
        <v>86.184000000000012</v>
      </c>
      <c r="BJ54" s="1133">
        <f>SUM(BF54,BG54,BH54,BI54)</f>
        <v>339.18400000000003</v>
      </c>
      <c r="BK54" s="171">
        <f>BK38*BK115</f>
        <v>82.047167999999985</v>
      </c>
      <c r="BL54" s="171">
        <f>BL38*BL115</f>
        <v>84.362849999999995</v>
      </c>
      <c r="BM54" s="171">
        <f>BM38*BM115</f>
        <v>92.647799999999989</v>
      </c>
      <c r="BN54" s="171">
        <f>BN38*BN115</f>
        <v>96.526080000000007</v>
      </c>
      <c r="BO54" s="1133">
        <f>SUM(BK54,BL54,BM54,BN54)</f>
        <v>355.58389799999998</v>
      </c>
      <c r="BP54" s="1131">
        <f>BP38*BP115</f>
        <v>339.85726740000007</v>
      </c>
      <c r="BQ54" s="1131">
        <f>BQ38*BQ115</f>
        <v>415.59688699200007</v>
      </c>
      <c r="BR54" s="1133">
        <f>BR38*BR115</f>
        <v>444.68866908144008</v>
      </c>
      <c r="BS54" s="32"/>
    </row>
    <row r="55" spans="1:71" s="673" customFormat="1" ht="15">
      <c r="A55" s="614" t="s">
        <v>546</v>
      </c>
      <c r="B55" s="480"/>
      <c r="C55" s="1131"/>
      <c r="D55" s="1131"/>
      <c r="E55" s="1131"/>
      <c r="F55" s="1132">
        <v>5</v>
      </c>
      <c r="G55" s="1132">
        <v>3</v>
      </c>
      <c r="H55" s="1037">
        <v>2</v>
      </c>
      <c r="I55" s="1037">
        <v>1</v>
      </c>
      <c r="J55" s="1037">
        <v>0</v>
      </c>
      <c r="K55" s="288">
        <f>L55-SUM(H55,I55,J55)</f>
        <v>0</v>
      </c>
      <c r="L55" s="1132">
        <v>3</v>
      </c>
      <c r="M55" s="1037">
        <v>1</v>
      </c>
      <c r="N55" s="1037">
        <v>2</v>
      </c>
      <c r="O55" s="1037">
        <v>1</v>
      </c>
      <c r="P55" s="288">
        <f>Q55-SUM(M55,N55,O55)</f>
        <v>5</v>
      </c>
      <c r="Q55" s="1132">
        <v>9</v>
      </c>
      <c r="R55" s="1037">
        <v>1</v>
      </c>
      <c r="S55" s="1037">
        <v>3</v>
      </c>
      <c r="T55" s="1037">
        <v>5</v>
      </c>
      <c r="U55" s="288">
        <f>V55-SUM(R55,S55,T55)</f>
        <v>2</v>
      </c>
      <c r="V55" s="1132">
        <v>11</v>
      </c>
      <c r="W55" s="1037">
        <v>1</v>
      </c>
      <c r="X55" s="1037">
        <v>5</v>
      </c>
      <c r="Y55" s="1037">
        <v>29</v>
      </c>
      <c r="Z55" s="288">
        <f>AA55-SUM(W55,X55,Y55)</f>
        <v>-5</v>
      </c>
      <c r="AA55" s="1132">
        <v>30</v>
      </c>
      <c r="AB55" s="1037">
        <v>3</v>
      </c>
      <c r="AC55" s="1037">
        <v>3</v>
      </c>
      <c r="AD55" s="1037">
        <v>12</v>
      </c>
      <c r="AE55" s="288">
        <f>AF55-SUM(AB55,AC55,AD55)</f>
        <v>10</v>
      </c>
      <c r="AF55" s="1132">
        <v>28</v>
      </c>
      <c r="AG55" s="1037">
        <v>2</v>
      </c>
      <c r="AH55" s="1037">
        <v>3</v>
      </c>
      <c r="AI55" s="1037">
        <v>3</v>
      </c>
      <c r="AJ55" s="288">
        <f>AK55-SUM(AG55,AH55,AI55)</f>
        <v>2</v>
      </c>
      <c r="AK55" s="1132">
        <v>10</v>
      </c>
      <c r="AL55" s="1037">
        <v>1</v>
      </c>
      <c r="AM55" s="1037">
        <v>35</v>
      </c>
      <c r="AN55" s="1037">
        <v>12</v>
      </c>
      <c r="AO55" s="288">
        <f>AP55-SUM(AL55,AM55,AN55)</f>
        <v>4</v>
      </c>
      <c r="AP55" s="1132">
        <v>52</v>
      </c>
      <c r="AQ55" s="1037">
        <v>6</v>
      </c>
      <c r="AR55" s="1037">
        <v>4</v>
      </c>
      <c r="AS55" s="1037">
        <v>16</v>
      </c>
      <c r="AT55" s="288">
        <f>AU55-SUM(AQ55,AR55,AS55)</f>
        <v>7</v>
      </c>
      <c r="AU55" s="1132">
        <v>33</v>
      </c>
      <c r="AV55" s="1037">
        <v>2</v>
      </c>
      <c r="AW55" s="1037">
        <v>3</v>
      </c>
      <c r="AX55" s="1037">
        <f>13+21</f>
        <v>34</v>
      </c>
      <c r="AY55" s="288">
        <f>AZ55-SUM(AV55,AW55,AX55)</f>
        <v>-3</v>
      </c>
      <c r="AZ55" s="1132">
        <f>33+3</f>
        <v>36</v>
      </c>
      <c r="BA55" s="1037">
        <v>4</v>
      </c>
      <c r="BB55" s="1037">
        <v>19</v>
      </c>
      <c r="BC55" s="1037">
        <v>22</v>
      </c>
      <c r="BD55" s="288">
        <f>BE55-SUM(BA55,BB55,BC55)</f>
        <v>4</v>
      </c>
      <c r="BE55" s="1132">
        <v>49</v>
      </c>
      <c r="BF55" s="1037">
        <v>8</v>
      </c>
      <c r="BG55" s="1037">
        <v>17</v>
      </c>
      <c r="BH55" s="1038">
        <v>39</v>
      </c>
      <c r="BI55" s="171">
        <f>BI38*BI116</f>
        <v>0</v>
      </c>
      <c r="BJ55" s="1133">
        <f>SUM(BF55,BG55,BH55,BI55)</f>
        <v>64</v>
      </c>
      <c r="BK55" s="171">
        <f>BK38*BK116</f>
        <v>0</v>
      </c>
      <c r="BL55" s="171">
        <f>BL38*BL116</f>
        <v>0</v>
      </c>
      <c r="BM55" s="171">
        <f>BM38*BM116</f>
        <v>0</v>
      </c>
      <c r="BN55" s="171">
        <f>BN38*BN116</f>
        <v>0</v>
      </c>
      <c r="BO55" s="1133">
        <f>SUM(BK55,BL55,BM55,BN55)</f>
        <v>0</v>
      </c>
      <c r="BP55" s="1131">
        <f>BP38*BP116</f>
        <v>0</v>
      </c>
      <c r="BQ55" s="1131">
        <f>BQ38*BQ116</f>
        <v>0</v>
      </c>
      <c r="BR55" s="1133">
        <f>BR38*BR116</f>
        <v>0</v>
      </c>
      <c r="BS55" s="32"/>
    </row>
    <row r="56" spans="1:71" s="673" customFormat="1" ht="15">
      <c r="A56" s="615" t="s">
        <v>547</v>
      </c>
      <c r="B56" s="490"/>
      <c r="C56" s="1157"/>
      <c r="D56" s="1157"/>
      <c r="E56" s="1157"/>
      <c r="F56" s="1159">
        <f t="shared" si="122" ref="F56:AO56">F58-F57</f>
        <v>186</v>
      </c>
      <c r="G56" s="1159">
        <f t="shared" si="122"/>
        <v>172</v>
      </c>
      <c r="H56" s="125">
        <f t="shared" si="122"/>
        <v>46</v>
      </c>
      <c r="I56" s="125">
        <f t="shared" si="122"/>
        <v>42</v>
      </c>
      <c r="J56" s="125">
        <f t="shared" si="122"/>
        <v>42</v>
      </c>
      <c r="K56" s="125">
        <f t="shared" si="122"/>
        <v>46</v>
      </c>
      <c r="L56" s="1159">
        <f t="shared" si="122"/>
        <v>176</v>
      </c>
      <c r="M56" s="125">
        <f t="shared" si="122"/>
        <v>45</v>
      </c>
      <c r="N56" s="125">
        <f t="shared" si="122"/>
        <v>44</v>
      </c>
      <c r="O56" s="125">
        <f t="shared" si="122"/>
        <v>44</v>
      </c>
      <c r="P56" s="125">
        <f t="shared" si="122"/>
        <v>51</v>
      </c>
      <c r="Q56" s="1159">
        <f t="shared" si="122"/>
        <v>184</v>
      </c>
      <c r="R56" s="125">
        <f t="shared" si="122"/>
        <v>49</v>
      </c>
      <c r="S56" s="125">
        <f t="shared" si="122"/>
        <v>49</v>
      </c>
      <c r="T56" s="125">
        <f t="shared" si="122"/>
        <v>51</v>
      </c>
      <c r="U56" s="125">
        <f t="shared" si="122"/>
        <v>52</v>
      </c>
      <c r="V56" s="1159">
        <f t="shared" si="122"/>
        <v>201</v>
      </c>
      <c r="W56" s="125">
        <f t="shared" si="122"/>
        <v>61</v>
      </c>
      <c r="X56" s="125">
        <f t="shared" si="122"/>
        <v>57</v>
      </c>
      <c r="Y56" s="125">
        <f t="shared" si="122"/>
        <v>84</v>
      </c>
      <c r="Z56" s="125">
        <f t="shared" si="122"/>
        <v>46</v>
      </c>
      <c r="AA56" s="1159">
        <f t="shared" si="122"/>
        <v>248</v>
      </c>
      <c r="AB56" s="125">
        <f t="shared" si="122"/>
        <v>63</v>
      </c>
      <c r="AC56" s="125">
        <f t="shared" si="122"/>
        <v>62</v>
      </c>
      <c r="AD56" s="125">
        <f t="shared" si="122"/>
        <v>68</v>
      </c>
      <c r="AE56" s="125">
        <f t="shared" si="122"/>
        <v>58</v>
      </c>
      <c r="AF56" s="1159">
        <f t="shared" si="122"/>
        <v>251</v>
      </c>
      <c r="AG56" s="125">
        <f t="shared" si="122"/>
        <v>62</v>
      </c>
      <c r="AH56" s="125">
        <f t="shared" si="122"/>
        <v>58</v>
      </c>
      <c r="AI56" s="125">
        <f t="shared" si="122"/>
        <v>56</v>
      </c>
      <c r="AJ56" s="125">
        <f t="shared" si="122"/>
        <v>54</v>
      </c>
      <c r="AK56" s="1159">
        <f t="shared" si="122"/>
        <v>230</v>
      </c>
      <c r="AL56" s="125">
        <f t="shared" si="122"/>
        <v>61</v>
      </c>
      <c r="AM56" s="125">
        <f t="shared" si="122"/>
        <v>76</v>
      </c>
      <c r="AN56" s="125">
        <f t="shared" si="122"/>
        <v>71</v>
      </c>
      <c r="AO56" s="125">
        <f t="shared" si="122"/>
        <v>62</v>
      </c>
      <c r="AP56" s="1159">
        <f t="shared" si="123" ref="AP56:AU56">AP58-AP57</f>
        <v>270</v>
      </c>
      <c r="AQ56" s="125">
        <f t="shared" si="123"/>
        <v>61</v>
      </c>
      <c r="AR56" s="125">
        <f t="shared" si="123"/>
        <v>64</v>
      </c>
      <c r="AS56" s="125">
        <f t="shared" si="123"/>
        <v>74</v>
      </c>
      <c r="AT56" s="125">
        <f t="shared" si="123"/>
        <v>65</v>
      </c>
      <c r="AU56" s="1159">
        <f t="shared" si="123"/>
        <v>264</v>
      </c>
      <c r="AV56" s="125">
        <f t="shared" si="124" ref="AV56:BA56">AV58-AV57</f>
        <v>61</v>
      </c>
      <c r="AW56" s="125">
        <f t="shared" si="124"/>
        <v>59</v>
      </c>
      <c r="AX56" s="125">
        <f t="shared" si="124"/>
        <v>91</v>
      </c>
      <c r="AY56" s="125">
        <f t="shared" si="124"/>
        <v>74</v>
      </c>
      <c r="AZ56" s="1159">
        <f t="shared" si="124"/>
        <v>285</v>
      </c>
      <c r="BA56" s="125">
        <f t="shared" si="124"/>
        <v>74</v>
      </c>
      <c r="BB56" s="125">
        <f t="shared" si="125" ref="BB56:BG56">BB58-BB57</f>
        <v>90</v>
      </c>
      <c r="BC56" s="125">
        <f t="shared" si="125"/>
        <v>103</v>
      </c>
      <c r="BD56" s="125">
        <f t="shared" si="125"/>
        <v>93</v>
      </c>
      <c r="BE56" s="1159">
        <f t="shared" si="125"/>
        <v>360</v>
      </c>
      <c r="BF56" s="125">
        <f t="shared" si="125"/>
        <v>92</v>
      </c>
      <c r="BG56" s="125">
        <f t="shared" si="125"/>
        <v>101</v>
      </c>
      <c r="BH56" s="880">
        <f>BH58-BH57</f>
        <v>124</v>
      </c>
      <c r="BI56" s="617">
        <f t="shared" si="126" ref="BI56:BR56">BI54+BI55</f>
        <v>86.184000000000012</v>
      </c>
      <c r="BJ56" s="1157">
        <f t="shared" si="126"/>
        <v>403.18400000000003</v>
      </c>
      <c r="BK56" s="617">
        <f t="shared" si="126"/>
        <v>82.047167999999985</v>
      </c>
      <c r="BL56" s="617">
        <f t="shared" si="126"/>
        <v>84.362849999999995</v>
      </c>
      <c r="BM56" s="617">
        <f t="shared" si="126"/>
        <v>92.647799999999989</v>
      </c>
      <c r="BN56" s="617">
        <f t="shared" si="126"/>
        <v>96.526080000000007</v>
      </c>
      <c r="BO56" s="1157">
        <f t="shared" si="126"/>
        <v>355.58389799999998</v>
      </c>
      <c r="BP56" s="1157">
        <f t="shared" si="126"/>
        <v>339.85726740000007</v>
      </c>
      <c r="BQ56" s="1157">
        <f t="shared" si="126"/>
        <v>415.59688699200007</v>
      </c>
      <c r="BR56" s="1157">
        <f t="shared" si="126"/>
        <v>444.68866908144008</v>
      </c>
      <c r="BS56" s="32"/>
    </row>
    <row r="57" spans="1:71" s="673" customFormat="1" ht="15">
      <c r="A57" s="613" t="s">
        <v>548</v>
      </c>
      <c r="B57" s="480"/>
      <c r="C57" s="1131"/>
      <c r="D57" s="1131"/>
      <c r="E57" s="1131"/>
      <c r="F57" s="1132">
        <v>-29</v>
      </c>
      <c r="G57" s="1132">
        <v>-14</v>
      </c>
      <c r="H57" s="1037">
        <v>-1</v>
      </c>
      <c r="I57" s="1037">
        <v>-2</v>
      </c>
      <c r="J57" s="1037">
        <v>-10</v>
      </c>
      <c r="K57" s="288">
        <f>L57-SUM(H57,I57,J57)</f>
        <v>-4</v>
      </c>
      <c r="L57" s="1132">
        <v>-17</v>
      </c>
      <c r="M57" s="1037">
        <v>-9</v>
      </c>
      <c r="N57" s="1037">
        <v>-8</v>
      </c>
      <c r="O57" s="1037">
        <v>-8</v>
      </c>
      <c r="P57" s="288">
        <f>Q57-SUM(M57,N57,O57)</f>
        <v>-5</v>
      </c>
      <c r="Q57" s="1132">
        <v>-30</v>
      </c>
      <c r="R57" s="1037">
        <v>-4</v>
      </c>
      <c r="S57" s="1037">
        <v>-7</v>
      </c>
      <c r="T57" s="1037">
        <v>-6</v>
      </c>
      <c r="U57" s="288">
        <f>V57-SUM(R57,S57,T57)</f>
        <v>-6</v>
      </c>
      <c r="V57" s="1132">
        <v>-23</v>
      </c>
      <c r="W57" s="1037">
        <v>-9</v>
      </c>
      <c r="X57" s="1037">
        <v>-8</v>
      </c>
      <c r="Y57" s="1037">
        <v>-5</v>
      </c>
      <c r="Z57" s="288">
        <f>AA57-SUM(W57,X57,Y57)</f>
        <v>1</v>
      </c>
      <c r="AA57" s="1132">
        <v>-21</v>
      </c>
      <c r="AB57" s="1037">
        <v>-3</v>
      </c>
      <c r="AC57" s="1037">
        <v>-8</v>
      </c>
      <c r="AD57" s="1037">
        <v>-8</v>
      </c>
      <c r="AE57" s="288">
        <f>AF57-SUM(AB57,AC57,AD57)</f>
        <v>-7</v>
      </c>
      <c r="AF57" s="1132">
        <v>-26</v>
      </c>
      <c r="AG57" s="1037">
        <v>-6</v>
      </c>
      <c r="AH57" s="1037">
        <v>-9</v>
      </c>
      <c r="AI57" s="1037">
        <v>-9</v>
      </c>
      <c r="AJ57" s="288">
        <f>AK57-SUM(AG57,AH57,AI57)</f>
        <v>-14</v>
      </c>
      <c r="AK57" s="1132">
        <v>-38</v>
      </c>
      <c r="AL57" s="1037">
        <v>-2</v>
      </c>
      <c r="AM57" s="1037">
        <v>-11</v>
      </c>
      <c r="AN57" s="1037">
        <v>-9</v>
      </c>
      <c r="AO57" s="288">
        <f>AP57-SUM(AL57,AM57,AN57)</f>
        <v>-6</v>
      </c>
      <c r="AP57" s="1132">
        <v>-28</v>
      </c>
      <c r="AQ57" s="1037">
        <v>-8</v>
      </c>
      <c r="AR57" s="1037">
        <v>-12</v>
      </c>
      <c r="AS57" s="1037">
        <v>-18</v>
      </c>
      <c r="AT57" s="288">
        <f>AU57-SUM(AQ57,AR57,AS57)</f>
        <v>-13</v>
      </c>
      <c r="AU57" s="1132">
        <v>-51</v>
      </c>
      <c r="AV57" s="1037">
        <v>-13</v>
      </c>
      <c r="AW57" s="1037">
        <v>-15</v>
      </c>
      <c r="AX57" s="1037">
        <v>-11</v>
      </c>
      <c r="AY57" s="288">
        <f>AZ57-SUM(AV57,AW57,AX57)</f>
        <v>-8</v>
      </c>
      <c r="AZ57" s="1132">
        <v>-47</v>
      </c>
      <c r="BA57" s="1037">
        <v>-3</v>
      </c>
      <c r="BB57" s="1037">
        <v>-11</v>
      </c>
      <c r="BC57" s="1037">
        <v>-10</v>
      </c>
      <c r="BD57" s="288">
        <f>BE57-SUM(BA57,BB57,BC57)</f>
        <v>-8</v>
      </c>
      <c r="BE57" s="1132">
        <v>-32</v>
      </c>
      <c r="BF57" s="1037">
        <v>6</v>
      </c>
      <c r="BG57" s="1037">
        <v>0</v>
      </c>
      <c r="BH57" s="464"/>
      <c r="BI57" s="171">
        <f>BI38*BI118</f>
        <v>0</v>
      </c>
      <c r="BJ57" s="1133">
        <f>SUM(BF57,BG57,BH57,BI57)</f>
        <v>6</v>
      </c>
      <c r="BK57" s="171">
        <f>BK38*BK118</f>
        <v>0</v>
      </c>
      <c r="BL57" s="171">
        <f>BL38*BL118</f>
        <v>0</v>
      </c>
      <c r="BM57" s="171">
        <f>BM38*BM118</f>
        <v>0</v>
      </c>
      <c r="BN57" s="171">
        <f>BN38*BN118</f>
        <v>0</v>
      </c>
      <c r="BO57" s="1133">
        <f>SUM(BK57,BL57,BM57,BN57)</f>
        <v>0</v>
      </c>
      <c r="BP57" s="1131">
        <f>BP38*BP118</f>
        <v>0</v>
      </c>
      <c r="BQ57" s="1131">
        <f>BQ38*BQ118</f>
        <v>0</v>
      </c>
      <c r="BR57" s="1133">
        <f>BR38*BR118</f>
        <v>0</v>
      </c>
      <c r="BS57" s="32"/>
    </row>
    <row r="58" spans="1:71" s="673" customFormat="1" ht="15">
      <c r="A58" s="618" t="s">
        <v>47</v>
      </c>
      <c r="B58" s="490"/>
      <c r="C58" s="1157"/>
      <c r="D58" s="1157"/>
      <c r="E58" s="1158">
        <v>151</v>
      </c>
      <c r="F58" s="1158">
        <v>157</v>
      </c>
      <c r="G58" s="1158">
        <v>158</v>
      </c>
      <c r="H58" s="1049">
        <v>45</v>
      </c>
      <c r="I58" s="1049">
        <v>40</v>
      </c>
      <c r="J58" s="1049">
        <v>32</v>
      </c>
      <c r="K58" s="1049">
        <v>42</v>
      </c>
      <c r="L58" s="1158">
        <v>159</v>
      </c>
      <c r="M58" s="1049">
        <v>36</v>
      </c>
      <c r="N58" s="1049">
        <v>36</v>
      </c>
      <c r="O58" s="1049">
        <v>36</v>
      </c>
      <c r="P58" s="1049">
        <v>46</v>
      </c>
      <c r="Q58" s="1158">
        <v>154</v>
      </c>
      <c r="R58" s="1049">
        <v>45</v>
      </c>
      <c r="S58" s="1049">
        <v>42</v>
      </c>
      <c r="T58" s="1049">
        <v>45</v>
      </c>
      <c r="U58" s="1049">
        <v>46</v>
      </c>
      <c r="V58" s="1158">
        <v>178</v>
      </c>
      <c r="W58" s="1049">
        <v>52</v>
      </c>
      <c r="X58" s="1049">
        <v>49</v>
      </c>
      <c r="Y58" s="1049">
        <v>79</v>
      </c>
      <c r="Z58" s="1049">
        <v>47</v>
      </c>
      <c r="AA58" s="1158">
        <v>227</v>
      </c>
      <c r="AB58" s="1049">
        <v>60</v>
      </c>
      <c r="AC58" s="1049">
        <v>54</v>
      </c>
      <c r="AD58" s="1049">
        <v>60</v>
      </c>
      <c r="AE58" s="1049">
        <v>51</v>
      </c>
      <c r="AF58" s="1158">
        <v>225</v>
      </c>
      <c r="AG58" s="1049">
        <v>56</v>
      </c>
      <c r="AH58" s="1049">
        <v>49</v>
      </c>
      <c r="AI58" s="1049">
        <v>47</v>
      </c>
      <c r="AJ58" s="1049">
        <v>40</v>
      </c>
      <c r="AK58" s="1158">
        <v>192</v>
      </c>
      <c r="AL58" s="1049">
        <v>59</v>
      </c>
      <c r="AM58" s="1049">
        <v>65</v>
      </c>
      <c r="AN58" s="1049">
        <v>62</v>
      </c>
      <c r="AO58" s="125">
        <f>AP58-SUM(AL58,AM58,AN58)</f>
        <v>56</v>
      </c>
      <c r="AP58" s="1158">
        <v>242</v>
      </c>
      <c r="AQ58" s="1049">
        <v>53</v>
      </c>
      <c r="AR58" s="1049">
        <v>52</v>
      </c>
      <c r="AS58" s="1049">
        <v>56</v>
      </c>
      <c r="AT58" s="125">
        <f>AU58-SUM(AQ58,AR58,AS58)</f>
        <v>52</v>
      </c>
      <c r="AU58" s="1158">
        <v>213</v>
      </c>
      <c r="AV58" s="1049">
        <v>48</v>
      </c>
      <c r="AW58" s="1049">
        <v>44</v>
      </c>
      <c r="AX58" s="1049">
        <v>80</v>
      </c>
      <c r="AY58" s="125">
        <f>AZ58-SUM(AV58,AW58,AX58)</f>
        <v>66</v>
      </c>
      <c r="AZ58" s="1158">
        <v>238</v>
      </c>
      <c r="BA58" s="1049">
        <v>71</v>
      </c>
      <c r="BB58" s="1049">
        <v>79</v>
      </c>
      <c r="BC58" s="1049">
        <v>93</v>
      </c>
      <c r="BD58" s="125">
        <f>BE58-SUM(BA58,BB58,BC58)</f>
        <v>85</v>
      </c>
      <c r="BE58" s="1158">
        <v>328</v>
      </c>
      <c r="BF58" s="1049">
        <v>98</v>
      </c>
      <c r="BG58" s="1049">
        <v>101</v>
      </c>
      <c r="BH58" s="1050">
        <v>124</v>
      </c>
      <c r="BI58" s="617">
        <f>BI56+BI57</f>
        <v>86.184000000000012</v>
      </c>
      <c r="BJ58" s="1157">
        <f>SUM(BF58,BG58,BH58,BI58)</f>
        <v>409.18400000000003</v>
      </c>
      <c r="BK58" s="617">
        <f>BK56+BK57</f>
        <v>82.047167999999985</v>
      </c>
      <c r="BL58" s="617">
        <f>BL56+BL57</f>
        <v>84.362849999999995</v>
      </c>
      <c r="BM58" s="617">
        <f>BM56+BM57</f>
        <v>92.647799999999989</v>
      </c>
      <c r="BN58" s="617">
        <f>BN56+BN57</f>
        <v>96.526080000000007</v>
      </c>
      <c r="BO58" s="1157">
        <f>SUM(BK58,BL58,BM58,BN58)</f>
        <v>355.58389799999998</v>
      </c>
      <c r="BP58" s="1157">
        <f>BP56+BP57</f>
        <v>339.85726740000007</v>
      </c>
      <c r="BQ58" s="1157">
        <f>BQ56+BQ57</f>
        <v>415.59688699200007</v>
      </c>
      <c r="BR58" s="1157">
        <f>BR56+BR57</f>
        <v>444.68866908144008</v>
      </c>
      <c r="BS58" s="32"/>
    </row>
    <row r="59" spans="1:71" s="673" customFormat="1" ht="15">
      <c r="A59" s="135" t="s">
        <v>48</v>
      </c>
      <c r="B59" s="481"/>
      <c r="C59" s="1134"/>
      <c r="D59" s="1134"/>
      <c r="E59" s="1135">
        <v>25</v>
      </c>
      <c r="F59" s="1135">
        <v>29</v>
      </c>
      <c r="G59" s="1135">
        <v>26</v>
      </c>
      <c r="H59" s="1040">
        <v>10</v>
      </c>
      <c r="I59" s="1040">
        <v>14</v>
      </c>
      <c r="J59" s="1040">
        <v>11</v>
      </c>
      <c r="K59" s="1040">
        <v>13</v>
      </c>
      <c r="L59" s="1135">
        <v>48</v>
      </c>
      <c r="M59" s="1040">
        <v>13</v>
      </c>
      <c r="N59" s="1040">
        <v>13</v>
      </c>
      <c r="O59" s="1040">
        <v>6</v>
      </c>
      <c r="P59" s="1040">
        <v>15</v>
      </c>
      <c r="Q59" s="1135">
        <v>47</v>
      </c>
      <c r="R59" s="1040">
        <v>13</v>
      </c>
      <c r="S59" s="1040">
        <v>13</v>
      </c>
      <c r="T59" s="1040">
        <v>15</v>
      </c>
      <c r="U59" s="1040">
        <v>16</v>
      </c>
      <c r="V59" s="1135">
        <v>57</v>
      </c>
      <c r="W59" s="1040">
        <v>17</v>
      </c>
      <c r="X59" s="1040">
        <v>14</v>
      </c>
      <c r="Y59" s="1040">
        <v>17</v>
      </c>
      <c r="Z59" s="1040">
        <v>23</v>
      </c>
      <c r="AA59" s="1135">
        <v>71</v>
      </c>
      <c r="AB59" s="1040">
        <v>15</v>
      </c>
      <c r="AC59" s="1040">
        <v>21</v>
      </c>
      <c r="AD59" s="1040">
        <v>25</v>
      </c>
      <c r="AE59" s="1040">
        <v>29</v>
      </c>
      <c r="AF59" s="1135">
        <v>90</v>
      </c>
      <c r="AG59" s="1040">
        <v>22</v>
      </c>
      <c r="AH59" s="1040">
        <v>34</v>
      </c>
      <c r="AI59" s="1040">
        <v>26</v>
      </c>
      <c r="AJ59" s="1040">
        <v>31</v>
      </c>
      <c r="AK59" s="1135">
        <v>113</v>
      </c>
      <c r="AL59" s="1040">
        <v>30</v>
      </c>
      <c r="AM59" s="1040">
        <v>32</v>
      </c>
      <c r="AN59" s="1040">
        <f>38+1</f>
        <v>39</v>
      </c>
      <c r="AO59" s="1040">
        <v>56</v>
      </c>
      <c r="AP59" s="1141">
        <f>SUM(AL59,AM59,AN59,AO59)</f>
        <v>157</v>
      </c>
      <c r="AQ59" s="1040">
        <v>32</v>
      </c>
      <c r="AR59" s="1040">
        <v>35</v>
      </c>
      <c r="AS59" s="1040">
        <v>46</v>
      </c>
      <c r="AT59" s="39">
        <f>AU59-SUM(AQ59,AR59,AS59)</f>
        <v>34</v>
      </c>
      <c r="AU59" s="1135">
        <v>147</v>
      </c>
      <c r="AV59" s="1040">
        <v>44</v>
      </c>
      <c r="AW59" s="1040">
        <v>48</v>
      </c>
      <c r="AX59" s="1040">
        <v>56</v>
      </c>
      <c r="AY59" s="39">
        <f>AZ59-SUM(AV59,AW59,AX59)</f>
        <v>51</v>
      </c>
      <c r="AZ59" s="1135">
        <v>199</v>
      </c>
      <c r="BA59" s="1040">
        <v>42</v>
      </c>
      <c r="BB59" s="1040">
        <v>60</v>
      </c>
      <c r="BC59" s="1040">
        <v>46</v>
      </c>
      <c r="BD59" s="39">
        <f>BE59-SUM(BA59,BB59,BC59)</f>
        <v>59</v>
      </c>
      <c r="BE59" s="1135">
        <v>207</v>
      </c>
      <c r="BF59" s="1040">
        <v>47</v>
      </c>
      <c r="BG59" s="1040">
        <v>59</v>
      </c>
      <c r="BH59" s="1044">
        <v>54</v>
      </c>
      <c r="BI59" s="363">
        <f>BI39*BI120</f>
        <v>36.720000000000006</v>
      </c>
      <c r="BJ59" s="1134">
        <f>SUM(BF59,BG59,BH59,BI59)</f>
        <v>196.72</v>
      </c>
      <c r="BK59" s="363">
        <f>BK39*BK120</f>
        <v>32.436000000000007</v>
      </c>
      <c r="BL59" s="363">
        <f>BL39*BL120</f>
        <v>32.436000000000007</v>
      </c>
      <c r="BM59" s="363">
        <f>BM39*BM120</f>
        <v>24.48</v>
      </c>
      <c r="BN59" s="363">
        <f>BN39*BN120</f>
        <v>36.720000000000006</v>
      </c>
      <c r="BO59" s="1134">
        <f>SUM(BK59,BL59,BM59,BN59)</f>
        <v>126.07200000000003</v>
      </c>
      <c r="BP59" s="1134">
        <f>BP39*BP120</f>
        <v>122.40000000000001</v>
      </c>
      <c r="BQ59" s="1134">
        <f>BQ39*BQ120</f>
        <v>129.74400000000003</v>
      </c>
      <c r="BR59" s="1134">
        <f>BR39*BR120</f>
        <v>129.74400000000003</v>
      </c>
      <c r="BS59" s="32"/>
    </row>
    <row r="60" spans="1:71" s="673" customFormat="1" ht="15">
      <c r="A60" s="359" t="s">
        <v>49</v>
      </c>
      <c r="B60" s="490"/>
      <c r="C60" s="1159">
        <f>C229</f>
        <v>1187</v>
      </c>
      <c r="D60" s="1159">
        <f>D229</f>
        <v>1457</v>
      </c>
      <c r="E60" s="1159">
        <f>SUM(E48:E59)</f>
        <v>1693</v>
      </c>
      <c r="F60" s="1159">
        <f t="shared" si="127" ref="F60:AU60">F59+F58+F53+F48</f>
        <v>1829</v>
      </c>
      <c r="G60" s="1159">
        <f t="shared" si="127"/>
        <v>1979</v>
      </c>
      <c r="H60" s="125">
        <f t="shared" si="127"/>
        <v>428</v>
      </c>
      <c r="I60" s="125">
        <f t="shared" si="127"/>
        <v>602</v>
      </c>
      <c r="J60" s="125">
        <f t="shared" si="127"/>
        <v>760</v>
      </c>
      <c r="K60" s="125">
        <f t="shared" si="127"/>
        <v>679</v>
      </c>
      <c r="L60" s="1159">
        <f t="shared" si="127"/>
        <v>2469</v>
      </c>
      <c r="M60" s="125">
        <f t="shared" si="127"/>
        <v>576</v>
      </c>
      <c r="N60" s="125">
        <f t="shared" si="127"/>
        <v>600</v>
      </c>
      <c r="O60" s="125">
        <f t="shared" si="127"/>
        <v>756</v>
      </c>
      <c r="P60" s="125">
        <f t="shared" si="127"/>
        <v>693</v>
      </c>
      <c r="Q60" s="1159">
        <f t="shared" si="127"/>
        <v>2625</v>
      </c>
      <c r="R60" s="125">
        <f t="shared" si="127"/>
        <v>582</v>
      </c>
      <c r="S60" s="125">
        <f t="shared" si="127"/>
        <v>629</v>
      </c>
      <c r="T60" s="125">
        <f t="shared" si="127"/>
        <v>729</v>
      </c>
      <c r="U60" s="125">
        <f t="shared" si="127"/>
        <v>729</v>
      </c>
      <c r="V60" s="1159">
        <f t="shared" si="127"/>
        <v>2669</v>
      </c>
      <c r="W60" s="125">
        <f t="shared" si="127"/>
        <v>608</v>
      </c>
      <c r="X60" s="125">
        <f t="shared" si="127"/>
        <v>634</v>
      </c>
      <c r="Y60" s="125">
        <f t="shared" si="127"/>
        <v>905</v>
      </c>
      <c r="Z60" s="125">
        <f t="shared" si="127"/>
        <v>733</v>
      </c>
      <c r="AA60" s="1159">
        <f t="shared" si="127"/>
        <v>2880</v>
      </c>
      <c r="AB60" s="125">
        <f t="shared" si="127"/>
        <v>640</v>
      </c>
      <c r="AC60" s="125">
        <f t="shared" si="127"/>
        <v>692</v>
      </c>
      <c r="AD60" s="125">
        <f t="shared" si="127"/>
        <v>855</v>
      </c>
      <c r="AE60" s="125">
        <f t="shared" si="127"/>
        <v>796</v>
      </c>
      <c r="AF60" s="1159">
        <f t="shared" si="127"/>
        <v>2983</v>
      </c>
      <c r="AG60" s="125">
        <f t="shared" si="127"/>
        <v>691</v>
      </c>
      <c r="AH60" s="125">
        <f t="shared" si="127"/>
        <v>722</v>
      </c>
      <c r="AI60" s="125">
        <f t="shared" si="127"/>
        <v>910</v>
      </c>
      <c r="AJ60" s="125">
        <f t="shared" si="127"/>
        <v>865</v>
      </c>
      <c r="AK60" s="1159">
        <f t="shared" si="127"/>
        <v>3188</v>
      </c>
      <c r="AL60" s="125">
        <f t="shared" si="127"/>
        <v>666</v>
      </c>
      <c r="AM60" s="125">
        <f t="shared" si="127"/>
        <v>703</v>
      </c>
      <c r="AN60" s="125">
        <f t="shared" si="127"/>
        <v>856</v>
      </c>
      <c r="AO60" s="125">
        <f t="shared" si="127"/>
        <v>778</v>
      </c>
      <c r="AP60" s="1159">
        <f t="shared" si="127"/>
        <v>3003</v>
      </c>
      <c r="AQ60" s="125">
        <f t="shared" si="127"/>
        <v>667</v>
      </c>
      <c r="AR60" s="125">
        <f t="shared" si="127"/>
        <v>713</v>
      </c>
      <c r="AS60" s="125">
        <f t="shared" si="127"/>
        <v>953</v>
      </c>
      <c r="AT60" s="125">
        <f t="shared" si="127"/>
        <v>820</v>
      </c>
      <c r="AU60" s="1159">
        <f t="shared" si="127"/>
        <v>3153</v>
      </c>
      <c r="AV60" s="125">
        <f t="shared" si="128" ref="AV60:AZ60">AV59+AV58+AV53+AV48</f>
        <v>692</v>
      </c>
      <c r="AW60" s="125">
        <f t="shared" si="128"/>
        <v>773</v>
      </c>
      <c r="AX60" s="125">
        <f t="shared" si="128"/>
        <v>1173</v>
      </c>
      <c r="AY60" s="125">
        <f t="shared" si="128"/>
        <v>987</v>
      </c>
      <c r="AZ60" s="1159">
        <f t="shared" si="128"/>
        <v>3625</v>
      </c>
      <c r="BA60" s="125">
        <f t="shared" si="129" ref="BA60:BR60">BA59+BA58+BA53+BA48</f>
        <v>819</v>
      </c>
      <c r="BB60" s="125">
        <f t="shared" si="129"/>
        <v>906</v>
      </c>
      <c r="BC60" s="125">
        <f t="shared" si="129"/>
        <v>1238</v>
      </c>
      <c r="BD60" s="125">
        <f t="shared" si="129"/>
        <v>1052</v>
      </c>
      <c r="BE60" s="1140">
        <f t="shared" si="129"/>
        <v>4015</v>
      </c>
      <c r="BF60" s="125">
        <f>BF59+BF58+BF53+BF48</f>
        <v>906</v>
      </c>
      <c r="BG60" s="125">
        <f>BG59+BG58+BG53+BG48</f>
        <v>936</v>
      </c>
      <c r="BH60" s="880">
        <f>BH59+BH58+BH53+BH48</f>
        <v>1428</v>
      </c>
      <c r="BI60" s="617">
        <f t="shared" si="129"/>
        <v>862.10117799999978</v>
      </c>
      <c r="BJ60" s="1157">
        <f t="shared" si="129"/>
        <v>4132.101177999999</v>
      </c>
      <c r="BK60" s="617">
        <f t="shared" si="129"/>
        <v>849.29725325000015</v>
      </c>
      <c r="BL60" s="617">
        <f t="shared" si="129"/>
        <v>909.48687800000016</v>
      </c>
      <c r="BM60" s="617">
        <f t="shared" si="129"/>
        <v>998.13535470000011</v>
      </c>
      <c r="BN60" s="617">
        <f t="shared" si="129"/>
        <v>835.92829483999981</v>
      </c>
      <c r="BO60" s="1157">
        <f t="shared" si="129"/>
        <v>3592.8477807899999</v>
      </c>
      <c r="BP60" s="1157">
        <f t="shared" si="129"/>
        <v>4230.05818818015</v>
      </c>
      <c r="BQ60" s="1157">
        <f t="shared" si="129"/>
        <v>5514.8419490297583</v>
      </c>
      <c r="BR60" s="1157">
        <f t="shared" si="129"/>
        <v>5801.1603585041757</v>
      </c>
      <c r="BS60" s="32"/>
    </row>
    <row r="61" spans="1:71" s="673" customFormat="1" ht="15">
      <c r="A61" s="162" t="s">
        <v>50</v>
      </c>
      <c r="B61" s="480"/>
      <c r="C61" s="1131"/>
      <c r="D61" s="1131"/>
      <c r="E61" s="1132">
        <v>1</v>
      </c>
      <c r="F61" s="1132">
        <v>13</v>
      </c>
      <c r="G61" s="1132">
        <v>7</v>
      </c>
      <c r="H61" s="1037">
        <v>1</v>
      </c>
      <c r="I61" s="419"/>
      <c r="J61" s="419"/>
      <c r="K61" s="419"/>
      <c r="L61" s="1132">
        <v>1</v>
      </c>
      <c r="M61" s="1037">
        <v>0</v>
      </c>
      <c r="N61" s="1037">
        <v>1</v>
      </c>
      <c r="O61" s="1037">
        <v>2</v>
      </c>
      <c r="P61" s="1037">
        <v>0</v>
      </c>
      <c r="Q61" s="1132">
        <v>3</v>
      </c>
      <c r="R61" s="1037">
        <v>-1</v>
      </c>
      <c r="S61" s="1037">
        <v>1</v>
      </c>
      <c r="T61" s="1037">
        <v>0</v>
      </c>
      <c r="U61" s="1037">
        <v>0</v>
      </c>
      <c r="V61" s="1132">
        <v>0</v>
      </c>
      <c r="W61" s="1037">
        <v>1</v>
      </c>
      <c r="X61" s="1037">
        <v>1</v>
      </c>
      <c r="Y61" s="1037">
        <v>1</v>
      </c>
      <c r="Z61" s="1037">
        <v>1</v>
      </c>
      <c r="AA61" s="1132">
        <v>4</v>
      </c>
      <c r="AB61" s="1037">
        <v>1</v>
      </c>
      <c r="AC61" s="1037">
        <v>1</v>
      </c>
      <c r="AD61" s="1037">
        <v>-1</v>
      </c>
      <c r="AE61" s="1037">
        <v>1</v>
      </c>
      <c r="AF61" s="1132">
        <v>2</v>
      </c>
      <c r="AG61" s="1037">
        <v>1</v>
      </c>
      <c r="AH61" s="1037">
        <v>1</v>
      </c>
      <c r="AI61" s="1037">
        <v>16</v>
      </c>
      <c r="AJ61" s="1037">
        <v>1</v>
      </c>
      <c r="AK61" s="1132">
        <v>19</v>
      </c>
      <c r="AL61" s="1037">
        <f>-1+42</f>
        <v>41</v>
      </c>
      <c r="AM61" s="1037">
        <f>2+66</f>
        <v>68</v>
      </c>
      <c r="AN61" s="1037">
        <v>60</v>
      </c>
      <c r="AO61" s="1037">
        <v>52</v>
      </c>
      <c r="AP61" s="1140">
        <f>SUM(AL61,AM61,AN61,AO61)</f>
        <v>221</v>
      </c>
      <c r="AQ61" s="1037">
        <v>0</v>
      </c>
      <c r="AR61" s="1037">
        <v>0</v>
      </c>
      <c r="AS61" s="1037">
        <v>0</v>
      </c>
      <c r="AT61" s="288">
        <f>AU61-SUM(AQ61,AR61,AS61)</f>
        <v>0</v>
      </c>
      <c r="AU61" s="1132">
        <v>0</v>
      </c>
      <c r="AV61" s="419"/>
      <c r="AW61" s="1037">
        <v>0</v>
      </c>
      <c r="AX61" s="419"/>
      <c r="AY61" s="288">
        <f>AZ61-SUM(AV61,AW61,AX61)</f>
        <v>0</v>
      </c>
      <c r="AZ61" s="1131"/>
      <c r="BA61" s="419"/>
      <c r="BB61" s="419"/>
      <c r="BC61" s="419"/>
      <c r="BD61" s="288">
        <f>BE61-SUM(BA61,BB61,BC61)</f>
        <v>0</v>
      </c>
      <c r="BE61" s="1131"/>
      <c r="BF61" s="419"/>
      <c r="BG61" s="419"/>
      <c r="BH61" s="464"/>
      <c r="BI61" s="1051">
        <v>0</v>
      </c>
      <c r="BJ61" s="1133">
        <f>SUM(BF61,BG61,BH61,BI61)</f>
        <v>0</v>
      </c>
      <c r="BK61" s="1051">
        <v>0</v>
      </c>
      <c r="BL61" s="1051">
        <v>0</v>
      </c>
      <c r="BM61" s="1051">
        <v>0</v>
      </c>
      <c r="BN61" s="1051">
        <v>0</v>
      </c>
      <c r="BO61" s="1133">
        <f>SUM(BK61,BL61,BM61,BN61)</f>
        <v>0</v>
      </c>
      <c r="BP61" s="1132">
        <v>0</v>
      </c>
      <c r="BQ61" s="1132">
        <v>0</v>
      </c>
      <c r="BR61" s="1160">
        <v>0</v>
      </c>
      <c r="BS61" s="32"/>
    </row>
    <row r="62" spans="1:71" s="673" customFormat="1" ht="15">
      <c r="A62" s="99" t="s">
        <v>51</v>
      </c>
      <c r="B62" s="481"/>
      <c r="C62" s="1134"/>
      <c r="D62" s="1134"/>
      <c r="E62" s="1135">
        <v>50</v>
      </c>
      <c r="F62" s="1135">
        <v>31</v>
      </c>
      <c r="G62" s="1135">
        <v>54</v>
      </c>
      <c r="H62" s="1040">
        <v>0</v>
      </c>
      <c r="I62" s="1040">
        <v>0</v>
      </c>
      <c r="J62" s="1040">
        <v>24</v>
      </c>
      <c r="K62" s="1040">
        <v>0</v>
      </c>
      <c r="L62" s="1135">
        <v>24</v>
      </c>
      <c r="M62" s="1040">
        <v>0</v>
      </c>
      <c r="N62" s="1040">
        <v>0</v>
      </c>
      <c r="O62" s="1040">
        <v>67</v>
      </c>
      <c r="P62" s="1040">
        <v>0</v>
      </c>
      <c r="Q62" s="1135">
        <v>67</v>
      </c>
      <c r="R62" s="1040">
        <v>0</v>
      </c>
      <c r="S62" s="1040">
        <v>57</v>
      </c>
      <c r="T62" s="1040">
        <v>36</v>
      </c>
      <c r="U62" s="1040">
        <v>0</v>
      </c>
      <c r="V62" s="1135">
        <v>93</v>
      </c>
      <c r="W62" s="1040">
        <v>0</v>
      </c>
      <c r="X62" s="1040">
        <v>0</v>
      </c>
      <c r="Y62" s="1040">
        <v>89</v>
      </c>
      <c r="Z62" s="1040">
        <v>-18</v>
      </c>
      <c r="AA62" s="1135">
        <v>71</v>
      </c>
      <c r="AB62" s="1040">
        <v>0</v>
      </c>
      <c r="AC62" s="1040">
        <v>0</v>
      </c>
      <c r="AD62" s="1040">
        <v>18</v>
      </c>
      <c r="AE62" s="1040">
        <v>0</v>
      </c>
      <c r="AF62" s="1135">
        <v>18</v>
      </c>
      <c r="AG62" s="363"/>
      <c r="AH62" s="363"/>
      <c r="AI62" s="1040">
        <v>18</v>
      </c>
      <c r="AJ62" s="1040">
        <v>46</v>
      </c>
      <c r="AK62" s="1135">
        <v>64</v>
      </c>
      <c r="AL62" s="1040">
        <v>0</v>
      </c>
      <c r="AM62" s="1040">
        <v>0</v>
      </c>
      <c r="AN62" s="1040">
        <v>47</v>
      </c>
      <c r="AO62" s="1040">
        <v>0</v>
      </c>
      <c r="AP62" s="1141">
        <f>SUM(AL62,AM62,AN62,AO62)</f>
        <v>47</v>
      </c>
      <c r="AQ62" s="1040">
        <v>0</v>
      </c>
      <c r="AR62" s="1040">
        <v>0</v>
      </c>
      <c r="AS62" s="1040">
        <v>0</v>
      </c>
      <c r="AT62" s="39">
        <f>AU62-SUM(AQ62,AR62,AS62)</f>
        <v>0</v>
      </c>
      <c r="AU62" s="1135">
        <v>0</v>
      </c>
      <c r="AV62" s="363"/>
      <c r="AW62" s="363"/>
      <c r="AX62" s="363"/>
      <c r="AY62" s="39">
        <f>AZ62-SUM(AV62,AW62,AX62)</f>
        <v>0</v>
      </c>
      <c r="AZ62" s="1134"/>
      <c r="BA62" s="363"/>
      <c r="BB62" s="363"/>
      <c r="BC62" s="363"/>
      <c r="BD62" s="39">
        <f>BE62-SUM(BA62,BB62,BC62)</f>
        <v>0</v>
      </c>
      <c r="BE62" s="1134"/>
      <c r="BF62" s="363"/>
      <c r="BG62" s="363"/>
      <c r="BH62" s="773"/>
      <c r="BI62" s="1040">
        <v>0</v>
      </c>
      <c r="BJ62" s="1134">
        <f>SUM(BF62,BG62,BH62,BI62)</f>
        <v>0</v>
      </c>
      <c r="BK62" s="1040">
        <v>0</v>
      </c>
      <c r="BL62" s="1040">
        <v>0</v>
      </c>
      <c r="BM62" s="1040">
        <v>0</v>
      </c>
      <c r="BN62" s="1040">
        <v>0</v>
      </c>
      <c r="BO62" s="1134">
        <f>SUM(BK62,BL62,BM62,BN62)</f>
        <v>0</v>
      </c>
      <c r="BP62" s="1135">
        <v>0</v>
      </c>
      <c r="BQ62" s="1135">
        <v>0</v>
      </c>
      <c r="BR62" s="1135">
        <v>0</v>
      </c>
      <c r="BS62" s="32"/>
    </row>
    <row r="63" spans="1:71" s="674" customFormat="1" ht="15">
      <c r="A63" s="94" t="s">
        <v>52</v>
      </c>
      <c r="B63" s="483"/>
      <c r="C63" s="1138">
        <f t="shared" si="130" ref="C63:AK63">SUM(C60:C62)</f>
        <v>1187</v>
      </c>
      <c r="D63" s="1138">
        <f t="shared" si="130"/>
        <v>1457</v>
      </c>
      <c r="E63" s="1138">
        <f t="shared" si="130"/>
        <v>1744</v>
      </c>
      <c r="F63" s="1138">
        <f t="shared" si="130"/>
        <v>1873</v>
      </c>
      <c r="G63" s="1138">
        <f t="shared" si="130"/>
        <v>2040</v>
      </c>
      <c r="H63" s="96">
        <f t="shared" si="130"/>
        <v>429</v>
      </c>
      <c r="I63" s="96">
        <f t="shared" si="130"/>
        <v>602</v>
      </c>
      <c r="J63" s="96">
        <f t="shared" si="130"/>
        <v>784</v>
      </c>
      <c r="K63" s="96">
        <f t="shared" si="130"/>
        <v>679</v>
      </c>
      <c r="L63" s="1138">
        <f t="shared" si="130"/>
        <v>2494</v>
      </c>
      <c r="M63" s="96">
        <f t="shared" si="130"/>
        <v>576</v>
      </c>
      <c r="N63" s="96">
        <f t="shared" si="130"/>
        <v>601</v>
      </c>
      <c r="O63" s="96">
        <f t="shared" si="130"/>
        <v>825</v>
      </c>
      <c r="P63" s="96">
        <f t="shared" si="130"/>
        <v>693</v>
      </c>
      <c r="Q63" s="1138">
        <f t="shared" si="130"/>
        <v>2695</v>
      </c>
      <c r="R63" s="96">
        <f t="shared" si="130"/>
        <v>581</v>
      </c>
      <c r="S63" s="96">
        <f t="shared" si="130"/>
        <v>687</v>
      </c>
      <c r="T63" s="96">
        <f t="shared" si="130"/>
        <v>765</v>
      </c>
      <c r="U63" s="96">
        <f t="shared" si="130"/>
        <v>729</v>
      </c>
      <c r="V63" s="1138">
        <f t="shared" si="130"/>
        <v>2762</v>
      </c>
      <c r="W63" s="96">
        <f t="shared" si="130"/>
        <v>609</v>
      </c>
      <c r="X63" s="96">
        <f t="shared" si="130"/>
        <v>635</v>
      </c>
      <c r="Y63" s="96">
        <f t="shared" si="130"/>
        <v>995</v>
      </c>
      <c r="Z63" s="96">
        <f t="shared" si="130"/>
        <v>716</v>
      </c>
      <c r="AA63" s="1138">
        <f t="shared" si="130"/>
        <v>2955</v>
      </c>
      <c r="AB63" s="96">
        <f t="shared" si="130"/>
        <v>641</v>
      </c>
      <c r="AC63" s="96">
        <f t="shared" si="130"/>
        <v>693</v>
      </c>
      <c r="AD63" s="96">
        <f t="shared" si="130"/>
        <v>872</v>
      </c>
      <c r="AE63" s="96">
        <f t="shared" si="130"/>
        <v>797</v>
      </c>
      <c r="AF63" s="1138">
        <f t="shared" si="130"/>
        <v>3003</v>
      </c>
      <c r="AG63" s="96">
        <f t="shared" si="130"/>
        <v>692</v>
      </c>
      <c r="AH63" s="96">
        <f t="shared" si="130"/>
        <v>723</v>
      </c>
      <c r="AI63" s="96">
        <f t="shared" si="130"/>
        <v>944</v>
      </c>
      <c r="AJ63" s="96">
        <f t="shared" si="130"/>
        <v>912</v>
      </c>
      <c r="AK63" s="1138">
        <f t="shared" si="130"/>
        <v>3271</v>
      </c>
      <c r="AL63" s="96">
        <f t="shared" si="131" ref="AL63:AQ63">SUM(AL60:AL62)</f>
        <v>707</v>
      </c>
      <c r="AM63" s="96">
        <f>SUM(AM60:AM62)</f>
        <v>771</v>
      </c>
      <c r="AN63" s="96">
        <f t="shared" si="131"/>
        <v>963</v>
      </c>
      <c r="AO63" s="96">
        <f t="shared" si="131"/>
        <v>830</v>
      </c>
      <c r="AP63" s="1138">
        <f t="shared" si="131"/>
        <v>3271</v>
      </c>
      <c r="AQ63" s="96">
        <f t="shared" si="131"/>
        <v>667</v>
      </c>
      <c r="AR63" s="96">
        <f t="shared" si="132" ref="AR63:AW63">SUM(AR60:AR62)</f>
        <v>713</v>
      </c>
      <c r="AS63" s="96">
        <f t="shared" si="132"/>
        <v>953</v>
      </c>
      <c r="AT63" s="96">
        <f t="shared" si="132"/>
        <v>820</v>
      </c>
      <c r="AU63" s="1138">
        <f t="shared" si="132"/>
        <v>3153</v>
      </c>
      <c r="AV63" s="96">
        <f t="shared" si="132"/>
        <v>692</v>
      </c>
      <c r="AW63" s="96">
        <f t="shared" si="132"/>
        <v>773</v>
      </c>
      <c r="AX63" s="96">
        <f t="shared" si="133" ref="AX63:BJ63">SUM(AX60:AX62)</f>
        <v>1173</v>
      </c>
      <c r="AY63" s="96">
        <f t="shared" si="133"/>
        <v>987</v>
      </c>
      <c r="AZ63" s="1138">
        <f t="shared" si="133"/>
        <v>3625</v>
      </c>
      <c r="BA63" s="96">
        <f t="shared" si="134" ref="BA63:BI63">SUM(BA60:BA62)</f>
        <v>819</v>
      </c>
      <c r="BB63" s="96">
        <f t="shared" si="134"/>
        <v>906</v>
      </c>
      <c r="BC63" s="96">
        <f t="shared" si="134"/>
        <v>1238</v>
      </c>
      <c r="BD63" s="96">
        <f t="shared" si="134"/>
        <v>1052</v>
      </c>
      <c r="BE63" s="1138">
        <f t="shared" si="134"/>
        <v>4015</v>
      </c>
      <c r="BF63" s="96">
        <f>SUM(BF60:BF62)</f>
        <v>906</v>
      </c>
      <c r="BG63" s="96">
        <f>SUM(BG60:BG62)</f>
        <v>936</v>
      </c>
      <c r="BH63" s="874">
        <f>SUM(BH60:BH62)</f>
        <v>1428</v>
      </c>
      <c r="BI63" s="596">
        <f t="shared" si="134"/>
        <v>862.10117799999978</v>
      </c>
      <c r="BJ63" s="1139">
        <f t="shared" si="133"/>
        <v>4132.101177999999</v>
      </c>
      <c r="BK63" s="596">
        <f t="shared" si="135" ref="BK63:BR63">SUM(BK60:BK62)</f>
        <v>849.29725325000015</v>
      </c>
      <c r="BL63" s="596">
        <f t="shared" si="135"/>
        <v>909.48687800000016</v>
      </c>
      <c r="BM63" s="596">
        <f t="shared" si="135"/>
        <v>998.13535470000011</v>
      </c>
      <c r="BN63" s="596">
        <f t="shared" si="135"/>
        <v>835.92829483999981</v>
      </c>
      <c r="BO63" s="1139">
        <f t="shared" si="135"/>
        <v>3592.8477807899999</v>
      </c>
      <c r="BP63" s="1139">
        <f t="shared" si="135"/>
        <v>4230.05818818015</v>
      </c>
      <c r="BQ63" s="1139">
        <f t="shared" si="135"/>
        <v>5514.8419490297583</v>
      </c>
      <c r="BR63" s="1139">
        <f t="shared" si="135"/>
        <v>5801.1603585041757</v>
      </c>
      <c r="BS63" s="37"/>
    </row>
    <row r="64" spans="1:71" s="673" customFormat="1" ht="15">
      <c r="A64" s="127" t="s">
        <v>53</v>
      </c>
      <c r="B64" s="480"/>
      <c r="C64" s="1131"/>
      <c r="D64" s="1131"/>
      <c r="E64" s="1132">
        <v>313</v>
      </c>
      <c r="F64" s="1132">
        <v>342</v>
      </c>
      <c r="G64" s="1132">
        <v>367</v>
      </c>
      <c r="H64" s="1037">
        <v>94</v>
      </c>
      <c r="I64" s="1037">
        <v>94</v>
      </c>
      <c r="J64" s="1037">
        <v>86</v>
      </c>
      <c r="K64" s="1037">
        <v>94</v>
      </c>
      <c r="L64" s="1132">
        <v>368</v>
      </c>
      <c r="M64" s="1037">
        <v>95</v>
      </c>
      <c r="N64" s="1037">
        <v>100</v>
      </c>
      <c r="O64" s="1037">
        <v>106</v>
      </c>
      <c r="P64" s="1037">
        <v>91</v>
      </c>
      <c r="Q64" s="1132">
        <v>392</v>
      </c>
      <c r="R64" s="1037">
        <v>96</v>
      </c>
      <c r="S64" s="1037">
        <v>105</v>
      </c>
      <c r="T64" s="1037">
        <v>110</v>
      </c>
      <c r="U64" s="1037">
        <v>71</v>
      </c>
      <c r="V64" s="1132">
        <v>382</v>
      </c>
      <c r="W64" s="1037">
        <v>91</v>
      </c>
      <c r="X64" s="1037">
        <v>104</v>
      </c>
      <c r="Y64" s="1037">
        <v>114</v>
      </c>
      <c r="Z64" s="1037">
        <v>76</v>
      </c>
      <c r="AA64" s="1132">
        <v>385</v>
      </c>
      <c r="AB64" s="1037">
        <v>97</v>
      </c>
      <c r="AC64" s="1037">
        <v>112</v>
      </c>
      <c r="AD64" s="1037">
        <v>120</v>
      </c>
      <c r="AE64" s="1037">
        <v>88</v>
      </c>
      <c r="AF64" s="1132">
        <v>417</v>
      </c>
      <c r="AG64" s="1037">
        <v>97</v>
      </c>
      <c r="AH64" s="1037">
        <v>116</v>
      </c>
      <c r="AI64" s="1037">
        <v>124</v>
      </c>
      <c r="AJ64" s="1037">
        <v>115</v>
      </c>
      <c r="AK64" s="1132">
        <v>452</v>
      </c>
      <c r="AL64" s="1037">
        <v>122</v>
      </c>
      <c r="AM64" s="1037">
        <v>118</v>
      </c>
      <c r="AN64" s="1037">
        <v>124</v>
      </c>
      <c r="AO64" s="288">
        <f>AP64-SUM(AL64,AM64,AN64)</f>
        <v>118</v>
      </c>
      <c r="AP64" s="1132">
        <v>482</v>
      </c>
      <c r="AQ64" s="1037">
        <v>117</v>
      </c>
      <c r="AR64" s="1037">
        <v>128</v>
      </c>
      <c r="AS64" s="1037">
        <v>139</v>
      </c>
      <c r="AT64" s="288">
        <f>AU64-SUM(AQ64,AR64,AS64)</f>
        <v>87</v>
      </c>
      <c r="AU64" s="1132">
        <v>471</v>
      </c>
      <c r="AV64" s="1037">
        <v>125</v>
      </c>
      <c r="AW64" s="1037">
        <v>139</v>
      </c>
      <c r="AX64" s="1037">
        <v>155</v>
      </c>
      <c r="AY64" s="288">
        <f>AZ64-SUM(AV64,AW64,AX64)</f>
        <v>125</v>
      </c>
      <c r="AZ64" s="1132">
        <v>544</v>
      </c>
      <c r="BA64" s="1037">
        <v>143</v>
      </c>
      <c r="BB64" s="1037">
        <v>156</v>
      </c>
      <c r="BC64" s="1037">
        <v>150</v>
      </c>
      <c r="BD64" s="288">
        <f>BE64-SUM(BA64,BB64,BC64)</f>
        <v>145</v>
      </c>
      <c r="BE64" s="1132">
        <v>594</v>
      </c>
      <c r="BF64" s="1037">
        <v>153</v>
      </c>
      <c r="BG64" s="1037">
        <v>156</v>
      </c>
      <c r="BH64" s="1038">
        <v>170</v>
      </c>
      <c r="BI64" s="171">
        <f t="shared" si="136" ref="BI64:BI67">BI36*BI122</f>
        <v>107.26315599999998</v>
      </c>
      <c r="BJ64" s="1133">
        <f>SUM(BF64,BG64,BH64,BI64)</f>
        <v>586.26315599999998</v>
      </c>
      <c r="BK64" s="171">
        <f t="shared" si="137" ref="BK64:BN67">BK36*BK122</f>
        <v>121.92217730000002</v>
      </c>
      <c r="BL64" s="171">
        <f t="shared" si="137"/>
        <v>145.06738400000003</v>
      </c>
      <c r="BM64" s="171">
        <f t="shared" si="137"/>
        <v>161.49270060000001</v>
      </c>
      <c r="BN64" s="171">
        <f t="shared" si="137"/>
        <v>111.34165041999999</v>
      </c>
      <c r="BO64" s="1133">
        <f>SUM(BK64,BL64,BM64,BN64)</f>
        <v>539.82391231999998</v>
      </c>
      <c r="BP64" s="1131">
        <f t="shared" si="138" ref="BP64:BR67">BP36*BP122</f>
        <v>556.39707084719987</v>
      </c>
      <c r="BQ64" s="1131">
        <f t="shared" si="138"/>
        <v>803.9937673742038</v>
      </c>
      <c r="BR64" s="1133">
        <f t="shared" si="138"/>
        <v>820.07364272168797</v>
      </c>
      <c r="BS64" s="32"/>
    </row>
    <row r="65" spans="1:71" s="673" customFormat="1" ht="15">
      <c r="A65" s="127" t="s">
        <v>54</v>
      </c>
      <c r="B65" s="480"/>
      <c r="C65" s="1131"/>
      <c r="D65" s="1131"/>
      <c r="E65" s="1132">
        <v>306</v>
      </c>
      <c r="F65" s="1132">
        <v>314</v>
      </c>
      <c r="G65" s="1132">
        <v>380</v>
      </c>
      <c r="H65" s="1037">
        <v>103</v>
      </c>
      <c r="I65" s="1037">
        <v>137</v>
      </c>
      <c r="J65" s="1037">
        <v>144</v>
      </c>
      <c r="K65" s="1037">
        <v>138</v>
      </c>
      <c r="L65" s="1132">
        <v>522</v>
      </c>
      <c r="M65" s="1037">
        <v>146</v>
      </c>
      <c r="N65" s="1037">
        <v>155</v>
      </c>
      <c r="O65" s="1037">
        <v>149</v>
      </c>
      <c r="P65" s="1037">
        <v>150</v>
      </c>
      <c r="Q65" s="1132">
        <v>600</v>
      </c>
      <c r="R65" s="1037">
        <v>160</v>
      </c>
      <c r="S65" s="1037">
        <v>145</v>
      </c>
      <c r="T65" s="1037">
        <v>154</v>
      </c>
      <c r="U65" s="1037">
        <v>149</v>
      </c>
      <c r="V65" s="1132">
        <v>608</v>
      </c>
      <c r="W65" s="1037">
        <v>162</v>
      </c>
      <c r="X65" s="1037">
        <v>169</v>
      </c>
      <c r="Y65" s="1037">
        <v>164</v>
      </c>
      <c r="Z65" s="1037">
        <v>177</v>
      </c>
      <c r="AA65" s="1132">
        <v>672</v>
      </c>
      <c r="AB65" s="1037">
        <v>193</v>
      </c>
      <c r="AC65" s="1037">
        <v>188</v>
      </c>
      <c r="AD65" s="1037">
        <v>203</v>
      </c>
      <c r="AE65" s="1037">
        <v>202</v>
      </c>
      <c r="AF65" s="1132">
        <v>786</v>
      </c>
      <c r="AG65" s="1037">
        <v>205</v>
      </c>
      <c r="AH65" s="1037">
        <v>207</v>
      </c>
      <c r="AI65" s="1037">
        <v>219</v>
      </c>
      <c r="AJ65" s="1037">
        <v>205</v>
      </c>
      <c r="AK65" s="1132">
        <v>836</v>
      </c>
      <c r="AL65" s="1037">
        <v>164</v>
      </c>
      <c r="AM65" s="1037">
        <v>153</v>
      </c>
      <c r="AN65" s="1037">
        <v>155</v>
      </c>
      <c r="AO65" s="288">
        <f>AP65-SUM(AL65,AM65,AN65)</f>
        <v>144</v>
      </c>
      <c r="AP65" s="1132">
        <v>616</v>
      </c>
      <c r="AQ65" s="1037">
        <v>154</v>
      </c>
      <c r="AR65" s="1037">
        <v>154</v>
      </c>
      <c r="AS65" s="1037">
        <v>168</v>
      </c>
      <c r="AT65" s="288">
        <f>AU65-SUM(AQ65,AR65,AS65)</f>
        <v>156</v>
      </c>
      <c r="AU65" s="1132">
        <v>632</v>
      </c>
      <c r="AV65" s="1037">
        <v>171</v>
      </c>
      <c r="AW65" s="1037">
        <v>173</v>
      </c>
      <c r="AX65" s="1037">
        <v>185</v>
      </c>
      <c r="AY65" s="288">
        <f>AZ65-SUM(AV65,AW65,AX65)</f>
        <v>177</v>
      </c>
      <c r="AZ65" s="1132">
        <v>706</v>
      </c>
      <c r="BA65" s="1037">
        <v>199</v>
      </c>
      <c r="BB65" s="1037">
        <v>195</v>
      </c>
      <c r="BC65" s="1037">
        <v>193</v>
      </c>
      <c r="BD65" s="288">
        <f>BE65-SUM(BA65,BB65,BC65)</f>
        <v>185</v>
      </c>
      <c r="BE65" s="1132">
        <v>772</v>
      </c>
      <c r="BF65" s="1037">
        <v>199</v>
      </c>
      <c r="BG65" s="1037">
        <v>203</v>
      </c>
      <c r="BH65" s="1038">
        <v>195</v>
      </c>
      <c r="BI65" s="171">
        <f t="shared" si="136"/>
        <v>169.59898799999996</v>
      </c>
      <c r="BJ65" s="1133">
        <f>SUM(BF65,BG65,BH65,BI65)</f>
        <v>766.59898799999996</v>
      </c>
      <c r="BK65" s="171">
        <f t="shared" si="137"/>
        <v>183.28237200000004</v>
      </c>
      <c r="BL65" s="171">
        <f t="shared" si="137"/>
        <v>157.99212000000003</v>
      </c>
      <c r="BM65" s="171">
        <f t="shared" si="137"/>
        <v>175.27009500000005</v>
      </c>
      <c r="BN65" s="171">
        <f t="shared" si="137"/>
        <v>191.64685643999994</v>
      </c>
      <c r="BO65" s="1133">
        <f>SUM(BK65,BL65,BM65,BN65)</f>
        <v>708.19144344000006</v>
      </c>
      <c r="BP65" s="1131">
        <f t="shared" si="138"/>
        <v>916.04873382749997</v>
      </c>
      <c r="BQ65" s="1131">
        <f t="shared" si="138"/>
        <v>1121.2436502048599</v>
      </c>
      <c r="BR65" s="1133">
        <f t="shared" si="138"/>
        <v>1210.9431422212488</v>
      </c>
      <c r="BS65" s="32"/>
    </row>
    <row r="66" spans="1:71" s="673" customFormat="1" ht="15">
      <c r="A66" s="127" t="s">
        <v>55</v>
      </c>
      <c r="B66" s="480"/>
      <c r="C66" s="1131"/>
      <c r="D66" s="1131"/>
      <c r="E66" s="1132">
        <v>192</v>
      </c>
      <c r="F66" s="1132">
        <v>204</v>
      </c>
      <c r="G66" s="1132">
        <v>244</v>
      </c>
      <c r="H66" s="1037">
        <v>62</v>
      </c>
      <c r="I66" s="1037">
        <v>61</v>
      </c>
      <c r="J66" s="1037">
        <v>62</v>
      </c>
      <c r="K66" s="1037">
        <v>61</v>
      </c>
      <c r="L66" s="1132">
        <v>246</v>
      </c>
      <c r="M66" s="1037">
        <v>62</v>
      </c>
      <c r="N66" s="1037">
        <v>69</v>
      </c>
      <c r="O66" s="1037">
        <v>69</v>
      </c>
      <c r="P66" s="1037">
        <v>76</v>
      </c>
      <c r="Q66" s="1132">
        <v>276</v>
      </c>
      <c r="R66" s="1037">
        <v>64</v>
      </c>
      <c r="S66" s="1037">
        <v>75</v>
      </c>
      <c r="T66" s="1037">
        <v>81</v>
      </c>
      <c r="U66" s="1037">
        <v>75</v>
      </c>
      <c r="V66" s="1132">
        <v>295</v>
      </c>
      <c r="W66" s="1037">
        <v>73</v>
      </c>
      <c r="X66" s="1037">
        <v>74</v>
      </c>
      <c r="Y66" s="1037">
        <v>66</v>
      </c>
      <c r="Z66" s="1037">
        <v>75</v>
      </c>
      <c r="AA66" s="1132">
        <v>288</v>
      </c>
      <c r="AB66" s="1037">
        <v>74</v>
      </c>
      <c r="AC66" s="1037">
        <v>83</v>
      </c>
      <c r="AD66" s="1037">
        <v>80</v>
      </c>
      <c r="AE66" s="1037">
        <v>70</v>
      </c>
      <c r="AF66" s="1132">
        <v>307</v>
      </c>
      <c r="AG66" s="1037">
        <v>77</v>
      </c>
      <c r="AH66" s="1037">
        <v>81</v>
      </c>
      <c r="AI66" s="1037">
        <v>88</v>
      </c>
      <c r="AJ66" s="1037">
        <v>80</v>
      </c>
      <c r="AK66" s="1132">
        <v>326</v>
      </c>
      <c r="AL66" s="1037">
        <v>80</v>
      </c>
      <c r="AM66" s="1037">
        <v>79</v>
      </c>
      <c r="AN66" s="1037">
        <v>80</v>
      </c>
      <c r="AO66" s="288">
        <f>AP66-SUM(AL66,AM66,AN66)</f>
        <v>82</v>
      </c>
      <c r="AP66" s="1132">
        <v>321</v>
      </c>
      <c r="AQ66" s="1037">
        <v>79</v>
      </c>
      <c r="AR66" s="1037">
        <v>84</v>
      </c>
      <c r="AS66" s="1037">
        <v>81</v>
      </c>
      <c r="AT66" s="288">
        <f>AU66-SUM(AQ66,AR66,AS66)</f>
        <v>89</v>
      </c>
      <c r="AU66" s="1132">
        <v>333</v>
      </c>
      <c r="AV66" s="1037">
        <v>86</v>
      </c>
      <c r="AW66" s="1037">
        <v>90</v>
      </c>
      <c r="AX66" s="1037">
        <v>76</v>
      </c>
      <c r="AY66" s="288">
        <f>AZ66-SUM(AV66,AW66,AX66)</f>
        <v>94</v>
      </c>
      <c r="AZ66" s="1132">
        <v>346</v>
      </c>
      <c r="BA66" s="1037">
        <v>99</v>
      </c>
      <c r="BB66" s="1037">
        <v>106</v>
      </c>
      <c r="BC66" s="1037">
        <v>110</v>
      </c>
      <c r="BD66" s="288">
        <f>BE66-SUM(BA66,BB66,BC66)</f>
        <v>114</v>
      </c>
      <c r="BE66" s="1132">
        <v>429</v>
      </c>
      <c r="BF66" s="1037">
        <v>112</v>
      </c>
      <c r="BG66" s="1037">
        <v>115</v>
      </c>
      <c r="BH66" s="1038">
        <v>123</v>
      </c>
      <c r="BI66" s="171">
        <f t="shared" si="136"/>
        <v>124.48800000000003</v>
      </c>
      <c r="BJ66" s="1133">
        <f>SUM(BF66,BG66,BH66,BI66)</f>
        <v>474.48800000000006</v>
      </c>
      <c r="BK66" s="171">
        <f t="shared" si="137"/>
        <v>118.512576</v>
      </c>
      <c r="BL66" s="171">
        <f t="shared" si="137"/>
        <v>121.85745</v>
      </c>
      <c r="BM66" s="171">
        <f t="shared" si="137"/>
        <v>133.82459999999998</v>
      </c>
      <c r="BN66" s="171">
        <f t="shared" si="137"/>
        <v>139.42656000000002</v>
      </c>
      <c r="BO66" s="1133">
        <f>SUM(BK66,BL66,BM66,BN66)</f>
        <v>513.62118599999997</v>
      </c>
      <c r="BP66" s="1131">
        <f t="shared" si="138"/>
        <v>490.90494180000002</v>
      </c>
      <c r="BQ66" s="1131">
        <f t="shared" si="138"/>
        <v>600.30661454400001</v>
      </c>
      <c r="BR66" s="1133">
        <f t="shared" si="138"/>
        <v>642.32807756208001</v>
      </c>
      <c r="BS66" s="32"/>
    </row>
    <row r="67" spans="1:71" s="673" customFormat="1" ht="15">
      <c r="A67" s="135" t="s">
        <v>56</v>
      </c>
      <c r="B67" s="481"/>
      <c r="C67" s="1134"/>
      <c r="D67" s="1134"/>
      <c r="E67" s="1135">
        <v>24</v>
      </c>
      <c r="F67" s="1135">
        <v>27</v>
      </c>
      <c r="G67" s="1135">
        <v>28</v>
      </c>
      <c r="H67" s="1040">
        <v>8</v>
      </c>
      <c r="I67" s="1040">
        <v>8</v>
      </c>
      <c r="J67" s="1040">
        <v>10</v>
      </c>
      <c r="K67" s="1040">
        <v>10</v>
      </c>
      <c r="L67" s="1135">
        <v>36</v>
      </c>
      <c r="M67" s="1040">
        <v>7</v>
      </c>
      <c r="N67" s="1040">
        <v>10</v>
      </c>
      <c r="O67" s="1040">
        <v>9</v>
      </c>
      <c r="P67" s="1040">
        <v>10</v>
      </c>
      <c r="Q67" s="1135">
        <v>36</v>
      </c>
      <c r="R67" s="1040">
        <v>10</v>
      </c>
      <c r="S67" s="1040">
        <v>10</v>
      </c>
      <c r="T67" s="1040">
        <v>7</v>
      </c>
      <c r="U67" s="1040">
        <v>10</v>
      </c>
      <c r="V67" s="1135">
        <v>37</v>
      </c>
      <c r="W67" s="1040">
        <v>9</v>
      </c>
      <c r="X67" s="1040">
        <v>11</v>
      </c>
      <c r="Y67" s="1040">
        <v>9</v>
      </c>
      <c r="Z67" s="1040">
        <v>8</v>
      </c>
      <c r="AA67" s="1135">
        <v>37</v>
      </c>
      <c r="AB67" s="1040">
        <v>11</v>
      </c>
      <c r="AC67" s="1040">
        <v>13</v>
      </c>
      <c r="AD67" s="1040">
        <v>14</v>
      </c>
      <c r="AE67" s="1040">
        <v>12</v>
      </c>
      <c r="AF67" s="1135">
        <v>50</v>
      </c>
      <c r="AG67" s="1040">
        <v>15</v>
      </c>
      <c r="AH67" s="1040">
        <v>14</v>
      </c>
      <c r="AI67" s="1040">
        <v>13</v>
      </c>
      <c r="AJ67" s="1040">
        <v>16</v>
      </c>
      <c r="AK67" s="1135">
        <v>58</v>
      </c>
      <c r="AL67" s="1040">
        <v>17</v>
      </c>
      <c r="AM67" s="1040">
        <v>16</v>
      </c>
      <c r="AN67" s="1040">
        <v>21</v>
      </c>
      <c r="AO67" s="39">
        <f>AP67-SUM(AL67,AM67,AN67)</f>
        <v>14</v>
      </c>
      <c r="AP67" s="1135">
        <v>68</v>
      </c>
      <c r="AQ67" s="1040">
        <v>22</v>
      </c>
      <c r="AR67" s="1040">
        <v>18</v>
      </c>
      <c r="AS67" s="1040">
        <v>19</v>
      </c>
      <c r="AT67" s="39">
        <f>AU67-SUM(AQ67,AR67,AS67)</f>
        <v>19</v>
      </c>
      <c r="AU67" s="1135">
        <v>78</v>
      </c>
      <c r="AV67" s="1040">
        <v>20</v>
      </c>
      <c r="AW67" s="1040">
        <v>21</v>
      </c>
      <c r="AX67" s="1040">
        <v>20</v>
      </c>
      <c r="AY67" s="39">
        <f>AZ67-SUM(AV67,AW67,AX67)</f>
        <v>23</v>
      </c>
      <c r="AZ67" s="1135">
        <v>84</v>
      </c>
      <c r="BA67" s="1040">
        <v>22</v>
      </c>
      <c r="BB67" s="1040">
        <v>21</v>
      </c>
      <c r="BC67" s="1040">
        <v>21</v>
      </c>
      <c r="BD67" s="39">
        <f>BE67-SUM(BA67,BB67,BC67)</f>
        <v>24</v>
      </c>
      <c r="BE67" s="1135">
        <v>88</v>
      </c>
      <c r="BF67" s="1040">
        <v>22</v>
      </c>
      <c r="BG67" s="1040">
        <v>24</v>
      </c>
      <c r="BH67" s="1044">
        <v>22</v>
      </c>
      <c r="BI67" s="363">
        <f t="shared" si="136"/>
        <v>19.98</v>
      </c>
      <c r="BJ67" s="1134">
        <f>SUM(BF67,BG67,BH67,BI67)</f>
        <v>87.98</v>
      </c>
      <c r="BK67" s="363">
        <f t="shared" si="137"/>
        <v>17.649000000000001</v>
      </c>
      <c r="BL67" s="363">
        <f t="shared" si="137"/>
        <v>17.649000000000001</v>
      </c>
      <c r="BM67" s="363">
        <f t="shared" si="137"/>
        <v>13.32</v>
      </c>
      <c r="BN67" s="363">
        <f t="shared" si="137"/>
        <v>19.98</v>
      </c>
      <c r="BO67" s="1134">
        <f>SUM(BK67,BL67,BM67,BN67)</f>
        <v>68.597999999999999</v>
      </c>
      <c r="BP67" s="1134">
        <f t="shared" si="138"/>
        <v>66.599999999999994</v>
      </c>
      <c r="BQ67" s="1134">
        <f t="shared" si="138"/>
        <v>70.596000000000004</v>
      </c>
      <c r="BR67" s="1134">
        <f t="shared" si="138"/>
        <v>70.596000000000004</v>
      </c>
      <c r="BS67" s="32"/>
    </row>
    <row r="68" spans="1:71" s="673" customFormat="1" ht="15">
      <c r="A68" s="359" t="s">
        <v>57</v>
      </c>
      <c r="B68" s="490"/>
      <c r="C68" s="1159">
        <f>C230</f>
        <v>808</v>
      </c>
      <c r="D68" s="1159">
        <f>D230</f>
        <v>797</v>
      </c>
      <c r="E68" s="1159">
        <f t="shared" si="139" ref="E68:AK68">SUM(E64:E67)</f>
        <v>835</v>
      </c>
      <c r="F68" s="1159">
        <f t="shared" si="139"/>
        <v>887</v>
      </c>
      <c r="G68" s="1159">
        <f t="shared" si="139"/>
        <v>1019</v>
      </c>
      <c r="H68" s="125">
        <f t="shared" si="139"/>
        <v>267</v>
      </c>
      <c r="I68" s="125">
        <f t="shared" si="139"/>
        <v>300</v>
      </c>
      <c r="J68" s="125">
        <f t="shared" si="139"/>
        <v>302</v>
      </c>
      <c r="K68" s="125">
        <f t="shared" si="139"/>
        <v>303</v>
      </c>
      <c r="L68" s="1159">
        <f t="shared" si="139"/>
        <v>1172</v>
      </c>
      <c r="M68" s="125">
        <f t="shared" si="139"/>
        <v>310</v>
      </c>
      <c r="N68" s="125">
        <f t="shared" si="139"/>
        <v>334</v>
      </c>
      <c r="O68" s="125">
        <f t="shared" si="139"/>
        <v>333</v>
      </c>
      <c r="P68" s="125">
        <f t="shared" si="139"/>
        <v>327</v>
      </c>
      <c r="Q68" s="1159">
        <f t="shared" si="139"/>
        <v>1304</v>
      </c>
      <c r="R68" s="125">
        <f t="shared" si="139"/>
        <v>330</v>
      </c>
      <c r="S68" s="125">
        <f t="shared" si="139"/>
        <v>335</v>
      </c>
      <c r="T68" s="125">
        <f t="shared" si="139"/>
        <v>352</v>
      </c>
      <c r="U68" s="125">
        <f t="shared" si="139"/>
        <v>305</v>
      </c>
      <c r="V68" s="1159">
        <f t="shared" si="139"/>
        <v>1322</v>
      </c>
      <c r="W68" s="125">
        <f t="shared" si="139"/>
        <v>335</v>
      </c>
      <c r="X68" s="125">
        <f t="shared" si="139"/>
        <v>358</v>
      </c>
      <c r="Y68" s="125">
        <f t="shared" si="139"/>
        <v>353</v>
      </c>
      <c r="Z68" s="125">
        <f t="shared" si="139"/>
        <v>336</v>
      </c>
      <c r="AA68" s="1159">
        <f t="shared" si="139"/>
        <v>1382</v>
      </c>
      <c r="AB68" s="125">
        <f t="shared" si="139"/>
        <v>375</v>
      </c>
      <c r="AC68" s="125">
        <f t="shared" si="139"/>
        <v>396</v>
      </c>
      <c r="AD68" s="125">
        <f t="shared" si="139"/>
        <v>417</v>
      </c>
      <c r="AE68" s="125">
        <f t="shared" si="139"/>
        <v>372</v>
      </c>
      <c r="AF68" s="1159">
        <f t="shared" si="139"/>
        <v>1560</v>
      </c>
      <c r="AG68" s="125">
        <f t="shared" si="139"/>
        <v>394</v>
      </c>
      <c r="AH68" s="125">
        <f t="shared" si="139"/>
        <v>418</v>
      </c>
      <c r="AI68" s="125">
        <f t="shared" si="139"/>
        <v>444</v>
      </c>
      <c r="AJ68" s="125">
        <f t="shared" si="139"/>
        <v>416</v>
      </c>
      <c r="AK68" s="1159">
        <f t="shared" si="139"/>
        <v>1672</v>
      </c>
      <c r="AL68" s="125">
        <f t="shared" si="140" ref="AL68:AQ68">SUM(AL64:AL67)</f>
        <v>383</v>
      </c>
      <c r="AM68" s="125">
        <f t="shared" si="140"/>
        <v>366</v>
      </c>
      <c r="AN68" s="125">
        <f t="shared" si="140"/>
        <v>380</v>
      </c>
      <c r="AO68" s="125">
        <f t="shared" si="140"/>
        <v>358</v>
      </c>
      <c r="AP68" s="1159">
        <f t="shared" si="140"/>
        <v>1487</v>
      </c>
      <c r="AQ68" s="125">
        <f t="shared" si="140"/>
        <v>372</v>
      </c>
      <c r="AR68" s="125">
        <f t="shared" si="141" ref="AR68:AW68">SUM(AR64:AR67)</f>
        <v>384</v>
      </c>
      <c r="AS68" s="125">
        <f t="shared" si="141"/>
        <v>407</v>
      </c>
      <c r="AT68" s="125">
        <f t="shared" si="141"/>
        <v>351</v>
      </c>
      <c r="AU68" s="1159">
        <f t="shared" si="141"/>
        <v>1514</v>
      </c>
      <c r="AV68" s="125">
        <f t="shared" si="141"/>
        <v>402</v>
      </c>
      <c r="AW68" s="125">
        <f t="shared" si="141"/>
        <v>423</v>
      </c>
      <c r="AX68" s="125">
        <f t="shared" si="142" ref="AX68:BJ68">SUM(AX64:AX67)</f>
        <v>436</v>
      </c>
      <c r="AY68" s="125">
        <f t="shared" si="142"/>
        <v>419</v>
      </c>
      <c r="AZ68" s="1159">
        <f t="shared" si="142"/>
        <v>1680</v>
      </c>
      <c r="BA68" s="125">
        <f t="shared" si="143" ref="BA68:BI68">SUM(BA64:BA67)</f>
        <v>463</v>
      </c>
      <c r="BB68" s="125">
        <f t="shared" si="143"/>
        <v>478</v>
      </c>
      <c r="BC68" s="125">
        <f t="shared" si="143"/>
        <v>474</v>
      </c>
      <c r="BD68" s="125">
        <f t="shared" si="143"/>
        <v>468</v>
      </c>
      <c r="BE68" s="1159">
        <f t="shared" si="143"/>
        <v>1883</v>
      </c>
      <c r="BF68" s="125">
        <f>SUM(BF64:BF67)</f>
        <v>486</v>
      </c>
      <c r="BG68" s="125">
        <f>SUM(BG64:BG67)</f>
        <v>498</v>
      </c>
      <c r="BH68" s="880">
        <f>SUM(BH64:BH67)</f>
        <v>510</v>
      </c>
      <c r="BI68" s="617">
        <f t="shared" si="143"/>
        <v>421.33014400000002</v>
      </c>
      <c r="BJ68" s="1157">
        <f t="shared" si="142"/>
        <v>1915.330144</v>
      </c>
      <c r="BK68" s="617">
        <f t="shared" si="144" ref="BK68:BR68">SUM(BK64:BK67)</f>
        <v>441.36612530000002</v>
      </c>
      <c r="BL68" s="617">
        <f t="shared" si="144"/>
        <v>442.56595400000003</v>
      </c>
      <c r="BM68" s="617">
        <f t="shared" si="144"/>
        <v>483.90739560000003</v>
      </c>
      <c r="BN68" s="617">
        <f t="shared" si="144"/>
        <v>462.39506685999993</v>
      </c>
      <c r="BO68" s="1157">
        <f t="shared" si="144"/>
        <v>1830.23454176</v>
      </c>
      <c r="BP68" s="1157">
        <f t="shared" si="144"/>
        <v>2029.9507464746998</v>
      </c>
      <c r="BQ68" s="1157">
        <f t="shared" si="144"/>
        <v>2596.1400321230635</v>
      </c>
      <c r="BR68" s="1157">
        <f t="shared" si="144"/>
        <v>2743.9408625050169</v>
      </c>
      <c r="BS68" s="32"/>
    </row>
    <row r="69" spans="1:71" s="673" customFormat="1" ht="15">
      <c r="A69" s="489" t="s">
        <v>58</v>
      </c>
      <c r="B69" s="480"/>
      <c r="C69" s="1131"/>
      <c r="D69" s="1131"/>
      <c r="E69" s="1132">
        <v>0</v>
      </c>
      <c r="F69" s="1132">
        <v>0</v>
      </c>
      <c r="G69" s="1132">
        <v>0</v>
      </c>
      <c r="H69" s="1037">
        <v>0</v>
      </c>
      <c r="I69" s="1037">
        <v>0</v>
      </c>
      <c r="J69" s="1037">
        <v>0</v>
      </c>
      <c r="K69" s="1037">
        <v>0</v>
      </c>
      <c r="L69" s="1132">
        <v>0</v>
      </c>
      <c r="M69" s="1037">
        <v>3</v>
      </c>
      <c r="N69" s="1037">
        <v>4</v>
      </c>
      <c r="O69" s="1037">
        <v>3</v>
      </c>
      <c r="P69" s="1037">
        <v>6</v>
      </c>
      <c r="Q69" s="1132">
        <v>16</v>
      </c>
      <c r="R69" s="1037">
        <v>4</v>
      </c>
      <c r="S69" s="1037">
        <v>5</v>
      </c>
      <c r="T69" s="1037">
        <v>4</v>
      </c>
      <c r="U69" s="1037">
        <v>6</v>
      </c>
      <c r="V69" s="1132">
        <v>19</v>
      </c>
      <c r="W69" s="1037">
        <v>4</v>
      </c>
      <c r="X69" s="1037">
        <v>8</v>
      </c>
      <c r="Y69" s="1037">
        <v>4</v>
      </c>
      <c r="Z69" s="1037">
        <v>9</v>
      </c>
      <c r="AA69" s="1132">
        <v>25</v>
      </c>
      <c r="AB69" s="1037">
        <v>6</v>
      </c>
      <c r="AC69" s="1037">
        <v>4</v>
      </c>
      <c r="AD69" s="1037">
        <v>7</v>
      </c>
      <c r="AE69" s="1037">
        <v>6</v>
      </c>
      <c r="AF69" s="1132">
        <v>23</v>
      </c>
      <c r="AG69" s="1037">
        <v>5</v>
      </c>
      <c r="AH69" s="1037">
        <v>8</v>
      </c>
      <c r="AI69" s="1037">
        <v>6</v>
      </c>
      <c r="AJ69" s="1037">
        <v>4</v>
      </c>
      <c r="AK69" s="1132">
        <v>23</v>
      </c>
      <c r="AL69" s="1037">
        <v>5</v>
      </c>
      <c r="AM69" s="1037">
        <v>5</v>
      </c>
      <c r="AN69" s="1037">
        <v>6</v>
      </c>
      <c r="AO69" s="1037">
        <v>5</v>
      </c>
      <c r="AP69" s="1131">
        <f>SUM(AL69,AM69,AN69,AO69)</f>
        <v>21</v>
      </c>
      <c r="AQ69" s="1037">
        <v>8</v>
      </c>
      <c r="AR69" s="1037">
        <v>6</v>
      </c>
      <c r="AS69" s="1037">
        <v>10</v>
      </c>
      <c r="AT69" s="1037">
        <v>9</v>
      </c>
      <c r="AU69" s="1131">
        <f>SUM(AQ69,AR69,AS69,AT69)</f>
        <v>33</v>
      </c>
      <c r="AV69" s="1037">
        <v>12</v>
      </c>
      <c r="AW69" s="1037">
        <v>9</v>
      </c>
      <c r="AX69" s="1037">
        <v>9</v>
      </c>
      <c r="AY69" s="1037">
        <v>8</v>
      </c>
      <c r="AZ69" s="1131">
        <f>SUM(AV69,AW69,AX69,AY69)</f>
        <v>38</v>
      </c>
      <c r="BA69" s="1037">
        <v>10</v>
      </c>
      <c r="BB69" s="1037">
        <v>7</v>
      </c>
      <c r="BC69" s="1037">
        <v>23</v>
      </c>
      <c r="BD69" s="1037">
        <v>12</v>
      </c>
      <c r="BE69" s="1131">
        <f>SUM(BA69,BB69,BC69,BD69)</f>
        <v>52</v>
      </c>
      <c r="BF69" s="1037">
        <v>17</v>
      </c>
      <c r="BG69" s="1037">
        <v>8</v>
      </c>
      <c r="BH69" s="1038">
        <v>8</v>
      </c>
      <c r="BI69" s="1051">
        <v>5</v>
      </c>
      <c r="BJ69" s="1133">
        <f>SUM(BF69,BG69,BH69,BI69)</f>
        <v>38</v>
      </c>
      <c r="BK69" s="1051">
        <v>5</v>
      </c>
      <c r="BL69" s="1051">
        <v>5</v>
      </c>
      <c r="BM69" s="1051">
        <v>5</v>
      </c>
      <c r="BN69" s="1051">
        <v>5</v>
      </c>
      <c r="BO69" s="1133">
        <f>SUM(BK69,BL69,BM69,BN69)</f>
        <v>20</v>
      </c>
      <c r="BP69" s="1132">
        <v>20</v>
      </c>
      <c r="BQ69" s="1132">
        <v>20</v>
      </c>
      <c r="BR69" s="1160">
        <v>20</v>
      </c>
      <c r="BS69" s="32"/>
    </row>
    <row r="70" spans="1:71" s="673" customFormat="1" ht="15">
      <c r="A70" s="99" t="s">
        <v>59</v>
      </c>
      <c r="B70" s="481"/>
      <c r="C70" s="1134"/>
      <c r="D70" s="1134"/>
      <c r="E70" s="1135">
        <v>0</v>
      </c>
      <c r="F70" s="1135">
        <v>0</v>
      </c>
      <c r="G70" s="1135">
        <v>0</v>
      </c>
      <c r="H70" s="1040">
        <v>0</v>
      </c>
      <c r="I70" s="1040">
        <v>0</v>
      </c>
      <c r="J70" s="1040">
        <v>0</v>
      </c>
      <c r="K70" s="1040">
        <v>0</v>
      </c>
      <c r="L70" s="1135">
        <v>0</v>
      </c>
      <c r="M70" s="1040">
        <v>0</v>
      </c>
      <c r="N70" s="1040">
        <v>0</v>
      </c>
      <c r="O70" s="1040">
        <v>0</v>
      </c>
      <c r="P70" s="1040">
        <v>0</v>
      </c>
      <c r="Q70" s="1134"/>
      <c r="R70" s="1040">
        <v>0</v>
      </c>
      <c r="S70" s="1040">
        <v>8</v>
      </c>
      <c r="T70" s="1040">
        <v>0</v>
      </c>
      <c r="U70" s="1040">
        <v>0</v>
      </c>
      <c r="V70" s="1135">
        <v>8</v>
      </c>
      <c r="W70" s="1040">
        <v>0</v>
      </c>
      <c r="X70" s="1040">
        <v>0</v>
      </c>
      <c r="Y70" s="1040">
        <v>0</v>
      </c>
      <c r="Z70" s="363"/>
      <c r="AA70" s="1135">
        <v>0</v>
      </c>
      <c r="AB70" s="1040">
        <v>0</v>
      </c>
      <c r="AC70" s="363"/>
      <c r="AD70" s="363"/>
      <c r="AE70" s="363"/>
      <c r="AF70" s="1134"/>
      <c r="AG70" s="363"/>
      <c r="AH70" s="363"/>
      <c r="AI70" s="363"/>
      <c r="AJ70" s="1040">
        <v>30</v>
      </c>
      <c r="AK70" s="1135">
        <v>30</v>
      </c>
      <c r="AL70" s="1040">
        <v>32</v>
      </c>
      <c r="AM70" s="1040">
        <v>38</v>
      </c>
      <c r="AN70" s="1040">
        <v>20</v>
      </c>
      <c r="AO70" s="1040">
        <v>27</v>
      </c>
      <c r="AP70" s="1135">
        <v>117</v>
      </c>
      <c r="AQ70" s="1040">
        <v>0</v>
      </c>
      <c r="AR70" s="1040">
        <v>0</v>
      </c>
      <c r="AS70" s="1040">
        <v>0</v>
      </c>
      <c r="AT70" s="1040">
        <v>0</v>
      </c>
      <c r="AU70" s="1135">
        <v>0</v>
      </c>
      <c r="AV70" s="363"/>
      <c r="AW70" s="363"/>
      <c r="AX70" s="363"/>
      <c r="AY70" s="363"/>
      <c r="AZ70" s="1134"/>
      <c r="BA70" s="363"/>
      <c r="BB70" s="363"/>
      <c r="BC70" s="363"/>
      <c r="BD70" s="363"/>
      <c r="BE70" s="1134"/>
      <c r="BF70" s="363"/>
      <c r="BG70" s="363"/>
      <c r="BH70" s="773"/>
      <c r="BI70" s="1040">
        <v>0</v>
      </c>
      <c r="BJ70" s="1134">
        <f>SUM(BF70,BG70,BH70,BI70)</f>
        <v>0</v>
      </c>
      <c r="BK70" s="1040">
        <v>0</v>
      </c>
      <c r="BL70" s="1040">
        <v>0</v>
      </c>
      <c r="BM70" s="1040">
        <v>0</v>
      </c>
      <c r="BN70" s="1040">
        <v>0</v>
      </c>
      <c r="BO70" s="1134">
        <f>SUM(BK70,BL70,BM70,BN70)</f>
        <v>0</v>
      </c>
      <c r="BP70" s="1135">
        <v>0</v>
      </c>
      <c r="BQ70" s="1135">
        <v>0</v>
      </c>
      <c r="BR70" s="1135">
        <v>0</v>
      </c>
      <c r="BS70" s="32"/>
    </row>
    <row r="71" spans="1:71" s="674" customFormat="1" ht="15">
      <c r="A71" s="94" t="s">
        <v>60</v>
      </c>
      <c r="B71" s="483"/>
      <c r="C71" s="1138">
        <f t="shared" si="145" ref="C71:AK71">SUM(C68:C70)</f>
        <v>808</v>
      </c>
      <c r="D71" s="1138">
        <f t="shared" si="145"/>
        <v>797</v>
      </c>
      <c r="E71" s="1138">
        <f t="shared" si="145"/>
        <v>835</v>
      </c>
      <c r="F71" s="1138">
        <f t="shared" si="145"/>
        <v>887</v>
      </c>
      <c r="G71" s="1138">
        <f t="shared" si="145"/>
        <v>1019</v>
      </c>
      <c r="H71" s="96">
        <f t="shared" si="145"/>
        <v>267</v>
      </c>
      <c r="I71" s="96">
        <f t="shared" si="145"/>
        <v>300</v>
      </c>
      <c r="J71" s="96">
        <f t="shared" si="145"/>
        <v>302</v>
      </c>
      <c r="K71" s="96">
        <f t="shared" si="145"/>
        <v>303</v>
      </c>
      <c r="L71" s="1138">
        <f t="shared" si="145"/>
        <v>1172</v>
      </c>
      <c r="M71" s="96">
        <f t="shared" si="145"/>
        <v>313</v>
      </c>
      <c r="N71" s="96">
        <f t="shared" si="145"/>
        <v>338</v>
      </c>
      <c r="O71" s="96">
        <f t="shared" si="145"/>
        <v>336</v>
      </c>
      <c r="P71" s="96">
        <f t="shared" si="145"/>
        <v>333</v>
      </c>
      <c r="Q71" s="1138">
        <f t="shared" si="145"/>
        <v>1320</v>
      </c>
      <c r="R71" s="96">
        <f t="shared" si="145"/>
        <v>334</v>
      </c>
      <c r="S71" s="96">
        <f t="shared" si="145"/>
        <v>348</v>
      </c>
      <c r="T71" s="96">
        <f t="shared" si="145"/>
        <v>356</v>
      </c>
      <c r="U71" s="96">
        <f t="shared" si="145"/>
        <v>311</v>
      </c>
      <c r="V71" s="1138">
        <f t="shared" si="145"/>
        <v>1349</v>
      </c>
      <c r="W71" s="96">
        <f t="shared" si="145"/>
        <v>339</v>
      </c>
      <c r="X71" s="96">
        <f t="shared" si="145"/>
        <v>366</v>
      </c>
      <c r="Y71" s="96">
        <f t="shared" si="145"/>
        <v>357</v>
      </c>
      <c r="Z71" s="96">
        <f t="shared" si="145"/>
        <v>345</v>
      </c>
      <c r="AA71" s="1138">
        <f t="shared" si="145"/>
        <v>1407</v>
      </c>
      <c r="AB71" s="96">
        <f t="shared" si="145"/>
        <v>381</v>
      </c>
      <c r="AC71" s="96">
        <f t="shared" si="145"/>
        <v>400</v>
      </c>
      <c r="AD71" s="96">
        <f t="shared" si="145"/>
        <v>424</v>
      </c>
      <c r="AE71" s="96">
        <f t="shared" si="145"/>
        <v>378</v>
      </c>
      <c r="AF71" s="1138">
        <f t="shared" si="145"/>
        <v>1583</v>
      </c>
      <c r="AG71" s="96">
        <f t="shared" si="145"/>
        <v>399</v>
      </c>
      <c r="AH71" s="96">
        <f t="shared" si="145"/>
        <v>426</v>
      </c>
      <c r="AI71" s="96">
        <f t="shared" si="145"/>
        <v>450</v>
      </c>
      <c r="AJ71" s="96">
        <f t="shared" si="145"/>
        <v>450</v>
      </c>
      <c r="AK71" s="1138">
        <f t="shared" si="145"/>
        <v>1725</v>
      </c>
      <c r="AL71" s="96">
        <f t="shared" si="146" ref="AL71:AQ71">SUM(AL68:AL70)</f>
        <v>420</v>
      </c>
      <c r="AM71" s="96">
        <f t="shared" si="146"/>
        <v>409</v>
      </c>
      <c r="AN71" s="96">
        <f t="shared" si="146"/>
        <v>406</v>
      </c>
      <c r="AO71" s="96">
        <f t="shared" si="146"/>
        <v>390</v>
      </c>
      <c r="AP71" s="1138">
        <f t="shared" si="146"/>
        <v>1625</v>
      </c>
      <c r="AQ71" s="96">
        <f t="shared" si="146"/>
        <v>380</v>
      </c>
      <c r="AR71" s="96">
        <f t="shared" si="147" ref="AR71:AW71">SUM(AR68:AR70)</f>
        <v>390</v>
      </c>
      <c r="AS71" s="96">
        <f t="shared" si="147"/>
        <v>417</v>
      </c>
      <c r="AT71" s="96">
        <f t="shared" si="147"/>
        <v>360</v>
      </c>
      <c r="AU71" s="1138">
        <f t="shared" si="147"/>
        <v>1547</v>
      </c>
      <c r="AV71" s="96">
        <f t="shared" si="147"/>
        <v>414</v>
      </c>
      <c r="AW71" s="96">
        <f t="shared" si="147"/>
        <v>432</v>
      </c>
      <c r="AX71" s="96">
        <f t="shared" si="148" ref="AX71:BJ71">SUM(AX68:AX70)</f>
        <v>445</v>
      </c>
      <c r="AY71" s="96">
        <f t="shared" si="148"/>
        <v>427</v>
      </c>
      <c r="AZ71" s="1138">
        <f t="shared" si="148"/>
        <v>1718</v>
      </c>
      <c r="BA71" s="96">
        <f t="shared" si="149" ref="BA71:BI71">SUM(BA68:BA70)</f>
        <v>473</v>
      </c>
      <c r="BB71" s="96">
        <f t="shared" si="149"/>
        <v>485</v>
      </c>
      <c r="BC71" s="96">
        <f t="shared" si="149"/>
        <v>497</v>
      </c>
      <c r="BD71" s="96">
        <f t="shared" si="149"/>
        <v>480</v>
      </c>
      <c r="BE71" s="1138">
        <f t="shared" si="149"/>
        <v>1935</v>
      </c>
      <c r="BF71" s="96">
        <f>SUM(BF68:BF70)</f>
        <v>503</v>
      </c>
      <c r="BG71" s="96">
        <f>SUM(BG68:BG70)</f>
        <v>506</v>
      </c>
      <c r="BH71" s="874">
        <f>SUM(BH68:BH70)</f>
        <v>518</v>
      </c>
      <c r="BI71" s="596">
        <f t="shared" si="149"/>
        <v>426.33014400000002</v>
      </c>
      <c r="BJ71" s="1139">
        <f t="shared" si="148"/>
        <v>1953.330144</v>
      </c>
      <c r="BK71" s="596">
        <f t="shared" si="150" ref="BK71:BR71">SUM(BK68:BK70)</f>
        <v>446.36612530000002</v>
      </c>
      <c r="BL71" s="596">
        <f t="shared" si="150"/>
        <v>447.56595400000003</v>
      </c>
      <c r="BM71" s="596">
        <f t="shared" si="150"/>
        <v>488.90739560000003</v>
      </c>
      <c r="BN71" s="596">
        <f t="shared" si="150"/>
        <v>467.39506685999993</v>
      </c>
      <c r="BO71" s="1139">
        <f t="shared" si="150"/>
        <v>1850.23454176</v>
      </c>
      <c r="BP71" s="1139">
        <f t="shared" si="150"/>
        <v>2049.9507464746998</v>
      </c>
      <c r="BQ71" s="1139">
        <f t="shared" si="150"/>
        <v>2616.1400321230635</v>
      </c>
      <c r="BR71" s="1139">
        <f t="shared" si="150"/>
        <v>2763.9408625050169</v>
      </c>
      <c r="BS71" s="37"/>
    </row>
    <row r="72" spans="1:71" s="673" customFormat="1" ht="15">
      <c r="A72" s="162" t="s">
        <v>61</v>
      </c>
      <c r="B72" s="480"/>
      <c r="C72" s="1140">
        <f t="shared" si="151" ref="C72:AK72">C48+C64</f>
        <v>0</v>
      </c>
      <c r="D72" s="1140">
        <f t="shared" si="151"/>
        <v>0</v>
      </c>
      <c r="E72" s="1140">
        <f t="shared" si="151"/>
        <v>1299</v>
      </c>
      <c r="F72" s="1140">
        <f t="shared" si="151"/>
        <v>1404</v>
      </c>
      <c r="G72" s="1140">
        <f t="shared" si="151"/>
        <v>1509</v>
      </c>
      <c r="H72" s="288">
        <f t="shared" si="151"/>
        <v>295</v>
      </c>
      <c r="I72" s="288">
        <f t="shared" si="151"/>
        <v>342</v>
      </c>
      <c r="J72" s="288">
        <f t="shared" si="151"/>
        <v>493</v>
      </c>
      <c r="K72" s="288">
        <f t="shared" si="151"/>
        <v>393</v>
      </c>
      <c r="L72" s="1140">
        <f t="shared" si="151"/>
        <v>1523</v>
      </c>
      <c r="M72" s="288">
        <f t="shared" si="151"/>
        <v>306</v>
      </c>
      <c r="N72" s="288">
        <f t="shared" si="151"/>
        <v>340</v>
      </c>
      <c r="O72" s="288">
        <f t="shared" si="151"/>
        <v>497</v>
      </c>
      <c r="P72" s="288">
        <f t="shared" si="151"/>
        <v>408</v>
      </c>
      <c r="Q72" s="1140">
        <f t="shared" si="151"/>
        <v>1551</v>
      </c>
      <c r="R72" s="288">
        <f t="shared" si="151"/>
        <v>307</v>
      </c>
      <c r="S72" s="288">
        <f t="shared" si="151"/>
        <v>350</v>
      </c>
      <c r="T72" s="288">
        <f t="shared" si="151"/>
        <v>449</v>
      </c>
      <c r="U72" s="288">
        <f t="shared" si="151"/>
        <v>390</v>
      </c>
      <c r="V72" s="1140">
        <f t="shared" si="151"/>
        <v>1496</v>
      </c>
      <c r="W72" s="288">
        <f t="shared" si="151"/>
        <v>299</v>
      </c>
      <c r="X72" s="288">
        <f t="shared" si="151"/>
        <v>336</v>
      </c>
      <c r="Y72" s="288">
        <f t="shared" si="151"/>
        <v>521</v>
      </c>
      <c r="Z72" s="288">
        <f t="shared" si="151"/>
        <v>401</v>
      </c>
      <c r="AA72" s="1140">
        <f t="shared" si="151"/>
        <v>1557</v>
      </c>
      <c r="AB72" s="288">
        <f t="shared" si="151"/>
        <v>317</v>
      </c>
      <c r="AC72" s="288">
        <f t="shared" si="151"/>
        <v>351</v>
      </c>
      <c r="AD72" s="288">
        <f t="shared" si="151"/>
        <v>526</v>
      </c>
      <c r="AE72" s="288">
        <f t="shared" si="151"/>
        <v>415</v>
      </c>
      <c r="AF72" s="1140">
        <f t="shared" si="151"/>
        <v>1609</v>
      </c>
      <c r="AG72" s="288">
        <f t="shared" si="151"/>
        <v>322</v>
      </c>
      <c r="AH72" s="288">
        <f t="shared" si="151"/>
        <v>375</v>
      </c>
      <c r="AI72" s="288">
        <f t="shared" si="151"/>
        <v>545</v>
      </c>
      <c r="AJ72" s="288">
        <f t="shared" si="151"/>
        <v>507</v>
      </c>
      <c r="AK72" s="1140">
        <f t="shared" si="151"/>
        <v>1749</v>
      </c>
      <c r="AL72" s="288">
        <f t="shared" si="152" ref="AL72:AU72">AL48+AL64</f>
        <v>359</v>
      </c>
      <c r="AM72" s="288">
        <f t="shared" si="152"/>
        <v>357</v>
      </c>
      <c r="AN72" s="288">
        <f t="shared" si="152"/>
        <v>527</v>
      </c>
      <c r="AO72" s="288">
        <f t="shared" si="152"/>
        <v>447</v>
      </c>
      <c r="AP72" s="1140">
        <f t="shared" si="152"/>
        <v>1690</v>
      </c>
      <c r="AQ72" s="288">
        <f t="shared" si="152"/>
        <v>338</v>
      </c>
      <c r="AR72" s="288">
        <f t="shared" si="152"/>
        <v>391</v>
      </c>
      <c r="AS72" s="288">
        <f t="shared" si="152"/>
        <v>655</v>
      </c>
      <c r="AT72" s="288">
        <f t="shared" si="152"/>
        <v>481</v>
      </c>
      <c r="AU72" s="1140">
        <f t="shared" si="152"/>
        <v>1865</v>
      </c>
      <c r="AV72" s="288">
        <f t="shared" si="153" ref="AV72:AZ72">AV48+AV64</f>
        <v>381</v>
      </c>
      <c r="AW72" s="288">
        <f t="shared" si="153"/>
        <v>466</v>
      </c>
      <c r="AX72" s="288">
        <f t="shared" si="153"/>
        <v>818</v>
      </c>
      <c r="AY72" s="288">
        <f t="shared" si="153"/>
        <v>614</v>
      </c>
      <c r="AZ72" s="1140">
        <f t="shared" si="153"/>
        <v>2279</v>
      </c>
      <c r="BA72" s="288">
        <f t="shared" si="154" ref="BA72:BR72">BA48+BA64</f>
        <v>432</v>
      </c>
      <c r="BB72" s="288">
        <f t="shared" si="154"/>
        <v>502</v>
      </c>
      <c r="BC72" s="288">
        <f t="shared" si="154"/>
        <v>786</v>
      </c>
      <c r="BD72" s="288">
        <f t="shared" si="154"/>
        <v>615</v>
      </c>
      <c r="BE72" s="1140">
        <f t="shared" si="154"/>
        <v>2335</v>
      </c>
      <c r="BF72" s="288">
        <f>BF48+BF64</f>
        <v>457</v>
      </c>
      <c r="BG72" s="288">
        <f>BG48+BG64</f>
        <v>504</v>
      </c>
      <c r="BH72" s="875">
        <f>BH48+BH64</f>
        <v>947</v>
      </c>
      <c r="BI72" s="171">
        <f t="shared" si="154"/>
        <v>448.55501599999991</v>
      </c>
      <c r="BJ72" s="1133">
        <f t="shared" si="154"/>
        <v>2356.5550159999998</v>
      </c>
      <c r="BK72" s="171">
        <f t="shared" si="154"/>
        <v>426.7276205500001</v>
      </c>
      <c r="BL72" s="171">
        <f t="shared" si="154"/>
        <v>567.08159200000011</v>
      </c>
      <c r="BM72" s="171">
        <f t="shared" si="154"/>
        <v>631.28964780000001</v>
      </c>
      <c r="BN72" s="171">
        <f t="shared" si="154"/>
        <v>364.39085591999998</v>
      </c>
      <c r="BO72" s="1133">
        <f t="shared" si="154"/>
        <v>1989.4897162699999</v>
      </c>
      <c r="BP72" s="1131">
        <f t="shared" si="154"/>
        <v>2175.0067314935995</v>
      </c>
      <c r="BQ72" s="1131">
        <f t="shared" si="154"/>
        <v>3142.8847270082515</v>
      </c>
      <c r="BR72" s="1133">
        <f t="shared" si="154"/>
        <v>3205.7424215484166</v>
      </c>
      <c r="BS72" s="32"/>
    </row>
    <row r="73" spans="1:71" s="673" customFormat="1" ht="15">
      <c r="A73" s="162" t="s">
        <v>62</v>
      </c>
      <c r="B73" s="480"/>
      <c r="C73" s="1140">
        <f t="shared" si="155" ref="C73:AK73">C53+C65</f>
        <v>0</v>
      </c>
      <c r="D73" s="1140">
        <f t="shared" si="155"/>
        <v>0</v>
      </c>
      <c r="E73" s="1140">
        <f t="shared" si="155"/>
        <v>837</v>
      </c>
      <c r="F73" s="1140">
        <f t="shared" si="155"/>
        <v>895</v>
      </c>
      <c r="G73" s="1140">
        <f t="shared" si="155"/>
        <v>1033</v>
      </c>
      <c r="H73" s="288">
        <f t="shared" si="155"/>
        <v>275</v>
      </c>
      <c r="I73" s="288">
        <f t="shared" si="155"/>
        <v>437</v>
      </c>
      <c r="J73" s="288">
        <f t="shared" si="155"/>
        <v>454</v>
      </c>
      <c r="K73" s="288">
        <f t="shared" si="155"/>
        <v>463</v>
      </c>
      <c r="L73" s="1140">
        <f t="shared" si="155"/>
        <v>1629</v>
      </c>
      <c r="M73" s="288">
        <f t="shared" si="155"/>
        <v>462</v>
      </c>
      <c r="N73" s="288">
        <f t="shared" si="155"/>
        <v>466</v>
      </c>
      <c r="O73" s="288">
        <f t="shared" si="155"/>
        <v>472</v>
      </c>
      <c r="P73" s="288">
        <f t="shared" si="155"/>
        <v>465</v>
      </c>
      <c r="Q73" s="1140">
        <f t="shared" si="155"/>
        <v>1865</v>
      </c>
      <c r="R73" s="288">
        <f t="shared" si="155"/>
        <v>473</v>
      </c>
      <c r="S73" s="288">
        <f t="shared" si="155"/>
        <v>474</v>
      </c>
      <c r="T73" s="288">
        <f t="shared" si="155"/>
        <v>484</v>
      </c>
      <c r="U73" s="288">
        <f t="shared" si="155"/>
        <v>497</v>
      </c>
      <c r="V73" s="1140">
        <f t="shared" si="155"/>
        <v>1928</v>
      </c>
      <c r="W73" s="288">
        <f t="shared" si="155"/>
        <v>493</v>
      </c>
      <c r="X73" s="288">
        <f t="shared" si="155"/>
        <v>508</v>
      </c>
      <c r="Y73" s="288">
        <f t="shared" si="155"/>
        <v>566</v>
      </c>
      <c r="Z73" s="288">
        <f t="shared" si="155"/>
        <v>515</v>
      </c>
      <c r="AA73" s="1140">
        <f t="shared" si="155"/>
        <v>2082</v>
      </c>
      <c r="AB73" s="288">
        <f t="shared" si="155"/>
        <v>538</v>
      </c>
      <c r="AC73" s="288">
        <f t="shared" si="155"/>
        <v>566</v>
      </c>
      <c r="AD73" s="288">
        <f t="shared" si="155"/>
        <v>567</v>
      </c>
      <c r="AE73" s="288">
        <f t="shared" si="155"/>
        <v>591</v>
      </c>
      <c r="AF73" s="1140">
        <f t="shared" si="155"/>
        <v>2262</v>
      </c>
      <c r="AG73" s="288">
        <f t="shared" si="155"/>
        <v>593</v>
      </c>
      <c r="AH73" s="288">
        <f t="shared" si="155"/>
        <v>587</v>
      </c>
      <c r="AI73" s="288">
        <f t="shared" si="155"/>
        <v>635</v>
      </c>
      <c r="AJ73" s="288">
        <f t="shared" si="155"/>
        <v>607</v>
      </c>
      <c r="AK73" s="1140">
        <f t="shared" si="155"/>
        <v>2422</v>
      </c>
      <c r="AL73" s="288">
        <f t="shared" si="156" ref="AL73:AV73">AL53+AL65</f>
        <v>504</v>
      </c>
      <c r="AM73" s="288">
        <f t="shared" si="156"/>
        <v>520</v>
      </c>
      <c r="AN73" s="288">
        <f t="shared" si="156"/>
        <v>507</v>
      </c>
      <c r="AO73" s="288">
        <f t="shared" si="156"/>
        <v>481</v>
      </c>
      <c r="AP73" s="1140">
        <f t="shared" si="156"/>
        <v>2012</v>
      </c>
      <c r="AQ73" s="288">
        <f t="shared" si="156"/>
        <v>515</v>
      </c>
      <c r="AR73" s="288">
        <f t="shared" si="156"/>
        <v>517</v>
      </c>
      <c r="AS73" s="288">
        <f t="shared" si="156"/>
        <v>503</v>
      </c>
      <c r="AT73" s="288">
        <f t="shared" si="156"/>
        <v>496</v>
      </c>
      <c r="AU73" s="1140">
        <f t="shared" si="156"/>
        <v>2031</v>
      </c>
      <c r="AV73" s="288">
        <f t="shared" si="156"/>
        <v>515</v>
      </c>
      <c r="AW73" s="288">
        <f t="shared" si="157" ref="AW73:AZ73">AW53+AW65</f>
        <v>527</v>
      </c>
      <c r="AX73" s="288">
        <f t="shared" si="157"/>
        <v>559</v>
      </c>
      <c r="AY73" s="288">
        <f t="shared" si="157"/>
        <v>558</v>
      </c>
      <c r="AZ73" s="1140">
        <f t="shared" si="157"/>
        <v>2159</v>
      </c>
      <c r="BA73" s="288">
        <f t="shared" si="158" ref="BA73:BR73">BA53+BA65</f>
        <v>616</v>
      </c>
      <c r="BB73" s="288">
        <f t="shared" si="158"/>
        <v>616</v>
      </c>
      <c r="BC73" s="288">
        <f t="shared" si="158"/>
        <v>656</v>
      </c>
      <c r="BD73" s="288">
        <f t="shared" si="158"/>
        <v>623</v>
      </c>
      <c r="BE73" s="1140">
        <f t="shared" si="158"/>
        <v>2511</v>
      </c>
      <c r="BF73" s="288">
        <f>BF53+BF65</f>
        <v>656</v>
      </c>
      <c r="BG73" s="288">
        <f>BG53+BG65</f>
        <v>631</v>
      </c>
      <c r="BH73" s="875">
        <f>BH53+BH65</f>
        <v>668</v>
      </c>
      <c r="BI73" s="171">
        <f t="shared" si="158"/>
        <v>567.50430599999981</v>
      </c>
      <c r="BJ73" s="1133">
        <f t="shared" si="158"/>
        <v>2522.5043059999998</v>
      </c>
      <c r="BK73" s="171">
        <f t="shared" si="158"/>
        <v>613.29101400000013</v>
      </c>
      <c r="BL73" s="171">
        <f t="shared" si="158"/>
        <v>528.66594000000009</v>
      </c>
      <c r="BM73" s="171">
        <f t="shared" si="158"/>
        <v>586.48070250000012</v>
      </c>
      <c r="BN73" s="171">
        <f t="shared" si="158"/>
        <v>641.2798657799998</v>
      </c>
      <c r="BO73" s="1133">
        <f t="shared" si="158"/>
        <v>2369.7175222800001</v>
      </c>
      <c r="BP73" s="1131">
        <f t="shared" si="158"/>
        <v>3065.2399939612496</v>
      </c>
      <c r="BQ73" s="1131">
        <f t="shared" si="158"/>
        <v>3751.8537526085697</v>
      </c>
      <c r="BR73" s="1133">
        <f t="shared" si="158"/>
        <v>4052.0020528172554</v>
      </c>
      <c r="BS73" s="32"/>
    </row>
    <row r="74" spans="1:71" s="673" customFormat="1" ht="15">
      <c r="A74" s="162" t="s">
        <v>63</v>
      </c>
      <c r="B74" s="480"/>
      <c r="C74" s="1140">
        <f t="shared" si="159" ref="C74:AK74">C58+C66</f>
        <v>0</v>
      </c>
      <c r="D74" s="1140">
        <f t="shared" si="159"/>
        <v>0</v>
      </c>
      <c r="E74" s="1140">
        <f t="shared" si="159"/>
        <v>343</v>
      </c>
      <c r="F74" s="1140">
        <f t="shared" si="159"/>
        <v>361</v>
      </c>
      <c r="G74" s="1140">
        <f t="shared" si="159"/>
        <v>402</v>
      </c>
      <c r="H74" s="288">
        <f t="shared" si="159"/>
        <v>107</v>
      </c>
      <c r="I74" s="288">
        <f t="shared" si="159"/>
        <v>101</v>
      </c>
      <c r="J74" s="288">
        <f t="shared" si="159"/>
        <v>94</v>
      </c>
      <c r="K74" s="288">
        <f t="shared" si="159"/>
        <v>103</v>
      </c>
      <c r="L74" s="1140">
        <f t="shared" si="159"/>
        <v>405</v>
      </c>
      <c r="M74" s="288">
        <f t="shared" si="159"/>
        <v>98</v>
      </c>
      <c r="N74" s="288">
        <f t="shared" si="159"/>
        <v>105</v>
      </c>
      <c r="O74" s="288">
        <f t="shared" si="159"/>
        <v>105</v>
      </c>
      <c r="P74" s="288">
        <f t="shared" si="159"/>
        <v>122</v>
      </c>
      <c r="Q74" s="1140">
        <f t="shared" si="159"/>
        <v>430</v>
      </c>
      <c r="R74" s="288">
        <f t="shared" si="159"/>
        <v>109</v>
      </c>
      <c r="S74" s="288">
        <f t="shared" si="159"/>
        <v>117</v>
      </c>
      <c r="T74" s="288">
        <f t="shared" si="159"/>
        <v>126</v>
      </c>
      <c r="U74" s="288">
        <f t="shared" si="159"/>
        <v>121</v>
      </c>
      <c r="V74" s="1140">
        <f t="shared" si="159"/>
        <v>473</v>
      </c>
      <c r="W74" s="288">
        <f t="shared" si="159"/>
        <v>125</v>
      </c>
      <c r="X74" s="288">
        <f t="shared" si="159"/>
        <v>123</v>
      </c>
      <c r="Y74" s="288">
        <f t="shared" si="159"/>
        <v>145</v>
      </c>
      <c r="Z74" s="288">
        <f t="shared" si="159"/>
        <v>122</v>
      </c>
      <c r="AA74" s="1140">
        <f t="shared" si="159"/>
        <v>515</v>
      </c>
      <c r="AB74" s="288">
        <f t="shared" si="159"/>
        <v>134</v>
      </c>
      <c r="AC74" s="288">
        <f t="shared" si="159"/>
        <v>137</v>
      </c>
      <c r="AD74" s="288">
        <f t="shared" si="159"/>
        <v>140</v>
      </c>
      <c r="AE74" s="288">
        <f t="shared" si="159"/>
        <v>121</v>
      </c>
      <c r="AF74" s="1140">
        <f t="shared" si="159"/>
        <v>532</v>
      </c>
      <c r="AG74" s="288">
        <f t="shared" si="159"/>
        <v>133</v>
      </c>
      <c r="AH74" s="288">
        <f t="shared" si="159"/>
        <v>130</v>
      </c>
      <c r="AI74" s="288">
        <f t="shared" si="159"/>
        <v>135</v>
      </c>
      <c r="AJ74" s="288">
        <f t="shared" si="159"/>
        <v>120</v>
      </c>
      <c r="AK74" s="1140">
        <f t="shared" si="159"/>
        <v>518</v>
      </c>
      <c r="AL74" s="288">
        <f t="shared" si="160" ref="AL74:AM76">AL58+AL66</f>
        <v>139</v>
      </c>
      <c r="AM74" s="288">
        <f t="shared" si="160"/>
        <v>144</v>
      </c>
      <c r="AN74" s="288">
        <f t="shared" si="161" ref="AN74:AP76">AN58+AN66</f>
        <v>142</v>
      </c>
      <c r="AO74" s="288">
        <f t="shared" si="161"/>
        <v>138</v>
      </c>
      <c r="AP74" s="1140">
        <f t="shared" si="161"/>
        <v>563</v>
      </c>
      <c r="AQ74" s="288">
        <f t="shared" si="162" ref="AQ74:AR76">AQ58+AQ66</f>
        <v>132</v>
      </c>
      <c r="AR74" s="288">
        <f t="shared" si="162"/>
        <v>136</v>
      </c>
      <c r="AS74" s="288">
        <f t="shared" si="163" ref="AS74:AU76">AS58+AS66</f>
        <v>137</v>
      </c>
      <c r="AT74" s="288">
        <f t="shared" si="163"/>
        <v>141</v>
      </c>
      <c r="AU74" s="1140">
        <f t="shared" si="163"/>
        <v>546</v>
      </c>
      <c r="AV74" s="288">
        <f t="shared" si="164" ref="AV74:AW76">AV58+AV66</f>
        <v>134</v>
      </c>
      <c r="AW74" s="288">
        <f t="shared" si="164"/>
        <v>134</v>
      </c>
      <c r="AX74" s="288">
        <f t="shared" si="165" ref="AX74:AZ76">AX58+AX66</f>
        <v>156</v>
      </c>
      <c r="AY74" s="288">
        <f t="shared" si="165"/>
        <v>160</v>
      </c>
      <c r="AZ74" s="1140">
        <f t="shared" si="165"/>
        <v>584</v>
      </c>
      <c r="BA74" s="288">
        <f t="shared" si="166" ref="BA74:BB76">BA58+BA66</f>
        <v>170</v>
      </c>
      <c r="BB74" s="288">
        <f t="shared" si="166"/>
        <v>185</v>
      </c>
      <c r="BC74" s="288">
        <f t="shared" si="167" ref="BC74:BI76">BC58+BC66</f>
        <v>203</v>
      </c>
      <c r="BD74" s="288">
        <f t="shared" si="167"/>
        <v>199</v>
      </c>
      <c r="BE74" s="1140">
        <f t="shared" si="167"/>
        <v>757</v>
      </c>
      <c r="BF74" s="288">
        <f t="shared" si="168" ref="BF74:BG76">BF58+BF66</f>
        <v>210</v>
      </c>
      <c r="BG74" s="288">
        <f t="shared" si="168"/>
        <v>216</v>
      </c>
      <c r="BH74" s="875">
        <f>BH58+BH66</f>
        <v>247</v>
      </c>
      <c r="BI74" s="171">
        <f t="shared" si="167"/>
        <v>210.67200000000003</v>
      </c>
      <c r="BJ74" s="1133">
        <f t="shared" si="169" ref="BJ74:BJ76">BJ58+BJ66</f>
        <v>883.67200000000003</v>
      </c>
      <c r="BK74" s="171">
        <f t="shared" si="170" ref="BK74:BR76">BK58+BK66</f>
        <v>200.55974399999997</v>
      </c>
      <c r="BL74" s="171">
        <f t="shared" si="170"/>
        <v>206.22030000000001</v>
      </c>
      <c r="BM74" s="171">
        <f t="shared" si="170"/>
        <v>226.47239999999996</v>
      </c>
      <c r="BN74" s="171">
        <f t="shared" si="170"/>
        <v>235.95264000000003</v>
      </c>
      <c r="BO74" s="1133">
        <f t="shared" si="170"/>
        <v>869.20508399999994</v>
      </c>
      <c r="BP74" s="1131">
        <f t="shared" si="170"/>
        <v>830.76220920000014</v>
      </c>
      <c r="BQ74" s="1131">
        <f t="shared" si="170"/>
        <v>1015.903501536</v>
      </c>
      <c r="BR74" s="1133">
        <f t="shared" si="170"/>
        <v>1087.01674664352</v>
      </c>
      <c r="BS74" s="32"/>
    </row>
    <row r="75" spans="1:71" s="673" customFormat="1" ht="15">
      <c r="A75" s="99" t="s">
        <v>64</v>
      </c>
      <c r="B75" s="481"/>
      <c r="C75" s="1141">
        <f t="shared" si="171" ref="C75:AK75">C59+C67</f>
        <v>0</v>
      </c>
      <c r="D75" s="1141">
        <f t="shared" si="171"/>
        <v>0</v>
      </c>
      <c r="E75" s="1141">
        <f t="shared" si="171"/>
        <v>49</v>
      </c>
      <c r="F75" s="1141">
        <f t="shared" si="171"/>
        <v>56</v>
      </c>
      <c r="G75" s="1141">
        <f t="shared" si="171"/>
        <v>54</v>
      </c>
      <c r="H75" s="39">
        <f t="shared" si="171"/>
        <v>18</v>
      </c>
      <c r="I75" s="39">
        <f t="shared" si="171"/>
        <v>22</v>
      </c>
      <c r="J75" s="39">
        <f t="shared" si="171"/>
        <v>21</v>
      </c>
      <c r="K75" s="39">
        <f t="shared" si="171"/>
        <v>23</v>
      </c>
      <c r="L75" s="1141">
        <f t="shared" si="171"/>
        <v>84</v>
      </c>
      <c r="M75" s="39">
        <f t="shared" si="171"/>
        <v>20</v>
      </c>
      <c r="N75" s="39">
        <f t="shared" si="171"/>
        <v>23</v>
      </c>
      <c r="O75" s="39">
        <f t="shared" si="171"/>
        <v>15</v>
      </c>
      <c r="P75" s="39">
        <f t="shared" si="171"/>
        <v>25</v>
      </c>
      <c r="Q75" s="1141">
        <f t="shared" si="171"/>
        <v>83</v>
      </c>
      <c r="R75" s="39">
        <f t="shared" si="171"/>
        <v>23</v>
      </c>
      <c r="S75" s="39">
        <f t="shared" si="171"/>
        <v>23</v>
      </c>
      <c r="T75" s="39">
        <f t="shared" si="171"/>
        <v>22</v>
      </c>
      <c r="U75" s="39">
        <f t="shared" si="171"/>
        <v>26</v>
      </c>
      <c r="V75" s="1141">
        <f t="shared" si="171"/>
        <v>94</v>
      </c>
      <c r="W75" s="39">
        <f t="shared" si="171"/>
        <v>26</v>
      </c>
      <c r="X75" s="39">
        <f t="shared" si="171"/>
        <v>25</v>
      </c>
      <c r="Y75" s="39">
        <f t="shared" si="171"/>
        <v>26</v>
      </c>
      <c r="Z75" s="39">
        <f t="shared" si="171"/>
        <v>31</v>
      </c>
      <c r="AA75" s="1141">
        <f t="shared" si="171"/>
        <v>108</v>
      </c>
      <c r="AB75" s="39">
        <f t="shared" si="171"/>
        <v>26</v>
      </c>
      <c r="AC75" s="39">
        <f t="shared" si="171"/>
        <v>34</v>
      </c>
      <c r="AD75" s="39">
        <f t="shared" si="171"/>
        <v>39</v>
      </c>
      <c r="AE75" s="39">
        <f t="shared" si="171"/>
        <v>41</v>
      </c>
      <c r="AF75" s="1141">
        <f t="shared" si="171"/>
        <v>140</v>
      </c>
      <c r="AG75" s="39">
        <f t="shared" si="171"/>
        <v>37</v>
      </c>
      <c r="AH75" s="39">
        <f t="shared" si="171"/>
        <v>48</v>
      </c>
      <c r="AI75" s="39">
        <f t="shared" si="171"/>
        <v>39</v>
      </c>
      <c r="AJ75" s="39">
        <f t="shared" si="171"/>
        <v>47</v>
      </c>
      <c r="AK75" s="1141">
        <f t="shared" si="171"/>
        <v>171</v>
      </c>
      <c r="AL75" s="39">
        <f t="shared" si="160"/>
        <v>47</v>
      </c>
      <c r="AM75" s="39">
        <f t="shared" si="160"/>
        <v>48</v>
      </c>
      <c r="AN75" s="39">
        <f t="shared" si="161"/>
        <v>60</v>
      </c>
      <c r="AO75" s="39">
        <f t="shared" si="161"/>
        <v>70</v>
      </c>
      <c r="AP75" s="1141">
        <f t="shared" si="161"/>
        <v>225</v>
      </c>
      <c r="AQ75" s="39">
        <f t="shared" si="162"/>
        <v>54</v>
      </c>
      <c r="AR75" s="39">
        <f t="shared" si="162"/>
        <v>53</v>
      </c>
      <c r="AS75" s="39">
        <f t="shared" si="163"/>
        <v>65</v>
      </c>
      <c r="AT75" s="39">
        <f t="shared" si="163"/>
        <v>53</v>
      </c>
      <c r="AU75" s="1141">
        <f t="shared" si="163"/>
        <v>225</v>
      </c>
      <c r="AV75" s="39">
        <f t="shared" si="164"/>
        <v>64</v>
      </c>
      <c r="AW75" s="39">
        <f t="shared" si="164"/>
        <v>69</v>
      </c>
      <c r="AX75" s="39">
        <f t="shared" si="165"/>
        <v>76</v>
      </c>
      <c r="AY75" s="39">
        <f t="shared" si="165"/>
        <v>74</v>
      </c>
      <c r="AZ75" s="1141">
        <f t="shared" si="165"/>
        <v>283</v>
      </c>
      <c r="BA75" s="39">
        <f t="shared" si="166"/>
        <v>64</v>
      </c>
      <c r="BB75" s="39">
        <f t="shared" si="166"/>
        <v>81</v>
      </c>
      <c r="BC75" s="39">
        <f t="shared" si="167"/>
        <v>67</v>
      </c>
      <c r="BD75" s="39">
        <f t="shared" si="167"/>
        <v>83</v>
      </c>
      <c r="BE75" s="1141">
        <f t="shared" si="167"/>
        <v>295</v>
      </c>
      <c r="BF75" s="39">
        <f t="shared" si="168"/>
        <v>69</v>
      </c>
      <c r="BG75" s="39">
        <f t="shared" si="168"/>
        <v>83</v>
      </c>
      <c r="BH75" s="876">
        <f>BH59+BH67</f>
        <v>76</v>
      </c>
      <c r="BI75" s="363">
        <f t="shared" si="167"/>
        <v>56.70</v>
      </c>
      <c r="BJ75" s="1134">
        <f t="shared" si="169"/>
        <v>284.70</v>
      </c>
      <c r="BK75" s="363">
        <f t="shared" si="170"/>
        <v>50.085000000000008</v>
      </c>
      <c r="BL75" s="363">
        <f t="shared" si="170"/>
        <v>50.085000000000008</v>
      </c>
      <c r="BM75" s="363">
        <f t="shared" si="170"/>
        <v>37.799999999999997</v>
      </c>
      <c r="BN75" s="363">
        <f t="shared" si="170"/>
        <v>56.70</v>
      </c>
      <c r="BO75" s="1134">
        <f t="shared" si="170"/>
        <v>194.67000000000002</v>
      </c>
      <c r="BP75" s="1134">
        <f t="shared" si="170"/>
        <v>189</v>
      </c>
      <c r="BQ75" s="1134">
        <f t="shared" si="170"/>
        <v>200.34000000000003</v>
      </c>
      <c r="BR75" s="1134">
        <f t="shared" si="170"/>
        <v>200.34000000000003</v>
      </c>
      <c r="BS75" s="32"/>
    </row>
    <row r="76" spans="1:71" s="673" customFormat="1" ht="15">
      <c r="A76" s="360" t="s">
        <v>65</v>
      </c>
      <c r="B76" s="490"/>
      <c r="C76" s="1159">
        <f t="shared" si="172" ref="C76:AK76">C60+C68</f>
        <v>1995</v>
      </c>
      <c r="D76" s="1159">
        <f t="shared" si="172"/>
        <v>2254</v>
      </c>
      <c r="E76" s="1159">
        <f t="shared" si="172"/>
        <v>2528</v>
      </c>
      <c r="F76" s="1159">
        <f t="shared" si="172"/>
        <v>2716</v>
      </c>
      <c r="G76" s="1159">
        <f t="shared" si="172"/>
        <v>2998</v>
      </c>
      <c r="H76" s="125">
        <f t="shared" si="172"/>
        <v>695</v>
      </c>
      <c r="I76" s="125">
        <f t="shared" si="172"/>
        <v>902</v>
      </c>
      <c r="J76" s="125">
        <f t="shared" si="172"/>
        <v>1062</v>
      </c>
      <c r="K76" s="125">
        <f t="shared" si="172"/>
        <v>982</v>
      </c>
      <c r="L76" s="1159">
        <f t="shared" si="172"/>
        <v>3641</v>
      </c>
      <c r="M76" s="125">
        <f t="shared" si="172"/>
        <v>886</v>
      </c>
      <c r="N76" s="125">
        <f t="shared" si="172"/>
        <v>934</v>
      </c>
      <c r="O76" s="125">
        <f t="shared" si="172"/>
        <v>1089</v>
      </c>
      <c r="P76" s="125">
        <f t="shared" si="172"/>
        <v>1020</v>
      </c>
      <c r="Q76" s="1159">
        <f t="shared" si="172"/>
        <v>3929</v>
      </c>
      <c r="R76" s="125">
        <f t="shared" si="172"/>
        <v>912</v>
      </c>
      <c r="S76" s="125">
        <f t="shared" si="172"/>
        <v>964</v>
      </c>
      <c r="T76" s="125">
        <f t="shared" si="172"/>
        <v>1081</v>
      </c>
      <c r="U76" s="125">
        <f t="shared" si="172"/>
        <v>1034</v>
      </c>
      <c r="V76" s="1159">
        <f t="shared" si="172"/>
        <v>3991</v>
      </c>
      <c r="W76" s="125">
        <f t="shared" si="172"/>
        <v>943</v>
      </c>
      <c r="X76" s="125">
        <f t="shared" si="172"/>
        <v>992</v>
      </c>
      <c r="Y76" s="125">
        <f t="shared" si="172"/>
        <v>1258</v>
      </c>
      <c r="Z76" s="125">
        <f t="shared" si="172"/>
        <v>1069</v>
      </c>
      <c r="AA76" s="1159">
        <f t="shared" si="172"/>
        <v>4262</v>
      </c>
      <c r="AB76" s="125">
        <f t="shared" si="172"/>
        <v>1015</v>
      </c>
      <c r="AC76" s="125">
        <f t="shared" si="172"/>
        <v>1088</v>
      </c>
      <c r="AD76" s="125">
        <f t="shared" si="172"/>
        <v>1272</v>
      </c>
      <c r="AE76" s="125">
        <f t="shared" si="172"/>
        <v>1168</v>
      </c>
      <c r="AF76" s="1159">
        <f t="shared" si="172"/>
        <v>4543</v>
      </c>
      <c r="AG76" s="125">
        <f t="shared" si="172"/>
        <v>1085</v>
      </c>
      <c r="AH76" s="125">
        <f t="shared" si="172"/>
        <v>1140</v>
      </c>
      <c r="AI76" s="125">
        <f t="shared" si="172"/>
        <v>1354</v>
      </c>
      <c r="AJ76" s="125">
        <f t="shared" si="172"/>
        <v>1281</v>
      </c>
      <c r="AK76" s="1159">
        <f t="shared" si="172"/>
        <v>4860</v>
      </c>
      <c r="AL76" s="125">
        <f t="shared" si="160"/>
        <v>1049</v>
      </c>
      <c r="AM76" s="125">
        <f t="shared" si="160"/>
        <v>1069</v>
      </c>
      <c r="AN76" s="125">
        <f t="shared" si="161"/>
        <v>1236</v>
      </c>
      <c r="AO76" s="125">
        <f t="shared" si="161"/>
        <v>1136</v>
      </c>
      <c r="AP76" s="1159">
        <f t="shared" si="161"/>
        <v>4490</v>
      </c>
      <c r="AQ76" s="125">
        <f t="shared" si="162"/>
        <v>1039</v>
      </c>
      <c r="AR76" s="125">
        <f t="shared" si="162"/>
        <v>1097</v>
      </c>
      <c r="AS76" s="125">
        <f t="shared" si="163"/>
        <v>1360</v>
      </c>
      <c r="AT76" s="125">
        <f t="shared" si="163"/>
        <v>1171</v>
      </c>
      <c r="AU76" s="1159">
        <f t="shared" si="163"/>
        <v>4667</v>
      </c>
      <c r="AV76" s="125">
        <f t="shared" si="164"/>
        <v>1094</v>
      </c>
      <c r="AW76" s="125">
        <f t="shared" si="164"/>
        <v>1196</v>
      </c>
      <c r="AX76" s="125">
        <f t="shared" si="165"/>
        <v>1609</v>
      </c>
      <c r="AY76" s="125">
        <f t="shared" si="165"/>
        <v>1406</v>
      </c>
      <c r="AZ76" s="1159">
        <f t="shared" si="165"/>
        <v>5305</v>
      </c>
      <c r="BA76" s="125">
        <f t="shared" si="166"/>
        <v>1282</v>
      </c>
      <c r="BB76" s="125">
        <f t="shared" si="166"/>
        <v>1384</v>
      </c>
      <c r="BC76" s="125">
        <f t="shared" si="167"/>
        <v>1712</v>
      </c>
      <c r="BD76" s="125">
        <f t="shared" si="167"/>
        <v>1520</v>
      </c>
      <c r="BE76" s="1159">
        <f t="shared" si="167"/>
        <v>5898</v>
      </c>
      <c r="BF76" s="125">
        <f t="shared" si="168"/>
        <v>1392</v>
      </c>
      <c r="BG76" s="125">
        <f t="shared" si="168"/>
        <v>1434</v>
      </c>
      <c r="BH76" s="880">
        <f>BH60+BH68</f>
        <v>1938</v>
      </c>
      <c r="BI76" s="617">
        <f t="shared" si="167"/>
        <v>1283.4313219999999</v>
      </c>
      <c r="BJ76" s="1157">
        <f t="shared" si="169"/>
        <v>6047.4313219999985</v>
      </c>
      <c r="BK76" s="617">
        <f t="shared" si="170"/>
        <v>1290.6633785500003</v>
      </c>
      <c r="BL76" s="617">
        <f t="shared" si="170"/>
        <v>1352.0528320000003</v>
      </c>
      <c r="BM76" s="617">
        <f t="shared" si="170"/>
        <v>1482.0427503000001</v>
      </c>
      <c r="BN76" s="617">
        <f t="shared" si="170"/>
        <v>1298.3233616999996</v>
      </c>
      <c r="BO76" s="1157">
        <f t="shared" si="170"/>
        <v>5423.0823225499998</v>
      </c>
      <c r="BP76" s="1157">
        <f t="shared" si="170"/>
        <v>6260.0089346548502</v>
      </c>
      <c r="BQ76" s="1157">
        <f t="shared" si="170"/>
        <v>8110.9819811528214</v>
      </c>
      <c r="BR76" s="1157">
        <f t="shared" si="170"/>
        <v>8545.1012210091922</v>
      </c>
      <c r="BS76" s="32"/>
    </row>
    <row r="77" spans="1:71" s="673" customFormat="1" ht="15">
      <c r="A77" s="114" t="s">
        <v>66</v>
      </c>
      <c r="B77" s="480"/>
      <c r="C77" s="1140">
        <f t="shared" si="173" ref="C77:AK77">C69</f>
        <v>0</v>
      </c>
      <c r="D77" s="1140">
        <f t="shared" si="173"/>
        <v>0</v>
      </c>
      <c r="E77" s="1140">
        <f t="shared" si="173"/>
        <v>0</v>
      </c>
      <c r="F77" s="1140">
        <f t="shared" si="173"/>
        <v>0</v>
      </c>
      <c r="G77" s="1140">
        <f t="shared" si="173"/>
        <v>0</v>
      </c>
      <c r="H77" s="288">
        <f t="shared" si="173"/>
        <v>0</v>
      </c>
      <c r="I77" s="288">
        <f t="shared" si="173"/>
        <v>0</v>
      </c>
      <c r="J77" s="288">
        <f t="shared" si="173"/>
        <v>0</v>
      </c>
      <c r="K77" s="288">
        <f t="shared" si="173"/>
        <v>0</v>
      </c>
      <c r="L77" s="1140">
        <f t="shared" si="173"/>
        <v>0</v>
      </c>
      <c r="M77" s="288">
        <f t="shared" si="173"/>
        <v>3</v>
      </c>
      <c r="N77" s="288">
        <f t="shared" si="173"/>
        <v>4</v>
      </c>
      <c r="O77" s="288">
        <f t="shared" si="173"/>
        <v>3</v>
      </c>
      <c r="P77" s="288">
        <f t="shared" si="173"/>
        <v>6</v>
      </c>
      <c r="Q77" s="1140">
        <f t="shared" si="173"/>
        <v>16</v>
      </c>
      <c r="R77" s="288">
        <f t="shared" si="173"/>
        <v>4</v>
      </c>
      <c r="S77" s="288">
        <f t="shared" si="173"/>
        <v>5</v>
      </c>
      <c r="T77" s="288">
        <f t="shared" si="173"/>
        <v>4</v>
      </c>
      <c r="U77" s="288">
        <f t="shared" si="173"/>
        <v>6</v>
      </c>
      <c r="V77" s="1140">
        <f t="shared" si="173"/>
        <v>19</v>
      </c>
      <c r="W77" s="288">
        <f t="shared" si="173"/>
        <v>4</v>
      </c>
      <c r="X77" s="288">
        <f t="shared" si="173"/>
        <v>8</v>
      </c>
      <c r="Y77" s="288">
        <f t="shared" si="173"/>
        <v>4</v>
      </c>
      <c r="Z77" s="288">
        <f t="shared" si="173"/>
        <v>9</v>
      </c>
      <c r="AA77" s="1140">
        <f t="shared" si="173"/>
        <v>25</v>
      </c>
      <c r="AB77" s="288">
        <f t="shared" si="173"/>
        <v>6</v>
      </c>
      <c r="AC77" s="288">
        <f t="shared" si="173"/>
        <v>4</v>
      </c>
      <c r="AD77" s="288">
        <f t="shared" si="173"/>
        <v>7</v>
      </c>
      <c r="AE77" s="288">
        <f t="shared" si="173"/>
        <v>6</v>
      </c>
      <c r="AF77" s="1140">
        <f t="shared" si="173"/>
        <v>23</v>
      </c>
      <c r="AG77" s="288">
        <f t="shared" si="173"/>
        <v>5</v>
      </c>
      <c r="AH77" s="288">
        <f t="shared" si="173"/>
        <v>8</v>
      </c>
      <c r="AI77" s="288">
        <f t="shared" si="173"/>
        <v>6</v>
      </c>
      <c r="AJ77" s="288">
        <f t="shared" si="173"/>
        <v>4</v>
      </c>
      <c r="AK77" s="1140">
        <f t="shared" si="173"/>
        <v>23</v>
      </c>
      <c r="AL77" s="288">
        <f t="shared" si="174" ref="AL77:AQ77">AL69</f>
        <v>5</v>
      </c>
      <c r="AM77" s="288">
        <f t="shared" si="174"/>
        <v>5</v>
      </c>
      <c r="AN77" s="288">
        <f t="shared" si="174"/>
        <v>6</v>
      </c>
      <c r="AO77" s="288">
        <f t="shared" si="174"/>
        <v>5</v>
      </c>
      <c r="AP77" s="1140">
        <f t="shared" si="174"/>
        <v>21</v>
      </c>
      <c r="AQ77" s="288">
        <f t="shared" si="174"/>
        <v>8</v>
      </c>
      <c r="AR77" s="288">
        <f t="shared" si="175" ref="AR77:AW77">AR69</f>
        <v>6</v>
      </c>
      <c r="AS77" s="288">
        <f t="shared" si="175"/>
        <v>10</v>
      </c>
      <c r="AT77" s="288">
        <f t="shared" si="175"/>
        <v>9</v>
      </c>
      <c r="AU77" s="1140">
        <f t="shared" si="175"/>
        <v>33</v>
      </c>
      <c r="AV77" s="288">
        <f t="shared" si="175"/>
        <v>12</v>
      </c>
      <c r="AW77" s="288">
        <f t="shared" si="175"/>
        <v>9</v>
      </c>
      <c r="AX77" s="288">
        <f t="shared" si="176" ref="AX77:BJ77">AX69</f>
        <v>9</v>
      </c>
      <c r="AY77" s="288">
        <f t="shared" si="176"/>
        <v>8</v>
      </c>
      <c r="AZ77" s="1140">
        <f t="shared" si="176"/>
        <v>38</v>
      </c>
      <c r="BA77" s="288">
        <f t="shared" si="177" ref="BA77:BI77">BA69</f>
        <v>10</v>
      </c>
      <c r="BB77" s="288">
        <f t="shared" si="177"/>
        <v>7</v>
      </c>
      <c r="BC77" s="288">
        <f t="shared" si="177"/>
        <v>23</v>
      </c>
      <c r="BD77" s="288">
        <f t="shared" si="177"/>
        <v>12</v>
      </c>
      <c r="BE77" s="1140">
        <f t="shared" si="177"/>
        <v>52</v>
      </c>
      <c r="BF77" s="288">
        <f>BF69</f>
        <v>17</v>
      </c>
      <c r="BG77" s="288">
        <f>BG69</f>
        <v>8</v>
      </c>
      <c r="BH77" s="875">
        <f>BH69</f>
        <v>8</v>
      </c>
      <c r="BI77" s="171">
        <f t="shared" si="177"/>
        <v>5</v>
      </c>
      <c r="BJ77" s="1133">
        <f t="shared" si="176"/>
        <v>38</v>
      </c>
      <c r="BK77" s="171">
        <f t="shared" si="178" ref="BK77:BR77">BK69</f>
        <v>5</v>
      </c>
      <c r="BL77" s="171">
        <f t="shared" si="178"/>
        <v>5</v>
      </c>
      <c r="BM77" s="171">
        <f t="shared" si="178"/>
        <v>5</v>
      </c>
      <c r="BN77" s="171">
        <f t="shared" si="178"/>
        <v>5</v>
      </c>
      <c r="BO77" s="1133">
        <f t="shared" si="178"/>
        <v>20</v>
      </c>
      <c r="BP77" s="1131">
        <f t="shared" si="178"/>
        <v>20</v>
      </c>
      <c r="BQ77" s="1131">
        <f t="shared" si="178"/>
        <v>20</v>
      </c>
      <c r="BR77" s="1133">
        <f t="shared" si="178"/>
        <v>20</v>
      </c>
      <c r="BS77" s="32"/>
    </row>
    <row r="78" spans="1:71" s="673" customFormat="1" ht="15">
      <c r="A78" s="114" t="s">
        <v>67</v>
      </c>
      <c r="B78" s="480"/>
      <c r="C78" s="1140">
        <f t="shared" si="179" ref="C78:AK78">C61</f>
        <v>0</v>
      </c>
      <c r="D78" s="1140">
        <f t="shared" si="179"/>
        <v>0</v>
      </c>
      <c r="E78" s="1140">
        <f t="shared" si="179"/>
        <v>1</v>
      </c>
      <c r="F78" s="1140">
        <f t="shared" si="179"/>
        <v>13</v>
      </c>
      <c r="G78" s="1140">
        <f t="shared" si="179"/>
        <v>7</v>
      </c>
      <c r="H78" s="288">
        <f t="shared" si="179"/>
        <v>1</v>
      </c>
      <c r="I78" s="288">
        <f t="shared" si="179"/>
        <v>0</v>
      </c>
      <c r="J78" s="288">
        <f t="shared" si="179"/>
        <v>0</v>
      </c>
      <c r="K78" s="288">
        <f t="shared" si="179"/>
        <v>0</v>
      </c>
      <c r="L78" s="1140">
        <f t="shared" si="179"/>
        <v>1</v>
      </c>
      <c r="M78" s="288">
        <f t="shared" si="179"/>
        <v>0</v>
      </c>
      <c r="N78" s="288">
        <f t="shared" si="179"/>
        <v>1</v>
      </c>
      <c r="O78" s="288">
        <f t="shared" si="179"/>
        <v>2</v>
      </c>
      <c r="P78" s="288">
        <f t="shared" si="179"/>
        <v>0</v>
      </c>
      <c r="Q78" s="1140">
        <f t="shared" si="179"/>
        <v>3</v>
      </c>
      <c r="R78" s="288">
        <f t="shared" si="179"/>
        <v>-1</v>
      </c>
      <c r="S78" s="288">
        <f t="shared" si="179"/>
        <v>1</v>
      </c>
      <c r="T78" s="288">
        <f t="shared" si="179"/>
        <v>0</v>
      </c>
      <c r="U78" s="288">
        <f t="shared" si="179"/>
        <v>0</v>
      </c>
      <c r="V78" s="1140">
        <f t="shared" si="179"/>
        <v>0</v>
      </c>
      <c r="W78" s="288">
        <f t="shared" si="179"/>
        <v>1</v>
      </c>
      <c r="X78" s="288">
        <f t="shared" si="179"/>
        <v>1</v>
      </c>
      <c r="Y78" s="288">
        <f t="shared" si="179"/>
        <v>1</v>
      </c>
      <c r="Z78" s="288">
        <f t="shared" si="179"/>
        <v>1</v>
      </c>
      <c r="AA78" s="1140">
        <f t="shared" si="179"/>
        <v>4</v>
      </c>
      <c r="AB78" s="288">
        <f t="shared" si="179"/>
        <v>1</v>
      </c>
      <c r="AC78" s="288">
        <f t="shared" si="179"/>
        <v>1</v>
      </c>
      <c r="AD78" s="288">
        <f t="shared" si="179"/>
        <v>-1</v>
      </c>
      <c r="AE78" s="288">
        <f t="shared" si="179"/>
        <v>1</v>
      </c>
      <c r="AF78" s="1140">
        <f t="shared" si="179"/>
        <v>2</v>
      </c>
      <c r="AG78" s="288">
        <f t="shared" si="179"/>
        <v>1</v>
      </c>
      <c r="AH78" s="288">
        <f t="shared" si="179"/>
        <v>1</v>
      </c>
      <c r="AI78" s="288">
        <f t="shared" si="179"/>
        <v>16</v>
      </c>
      <c r="AJ78" s="288">
        <f t="shared" si="179"/>
        <v>1</v>
      </c>
      <c r="AK78" s="1140">
        <f t="shared" si="179"/>
        <v>19</v>
      </c>
      <c r="AL78" s="288">
        <f t="shared" si="180" ref="AL78:AQ78">AL61</f>
        <v>41</v>
      </c>
      <c r="AM78" s="288">
        <f t="shared" si="180"/>
        <v>68</v>
      </c>
      <c r="AN78" s="288">
        <f t="shared" si="180"/>
        <v>60</v>
      </c>
      <c r="AO78" s="288">
        <f t="shared" si="180"/>
        <v>52</v>
      </c>
      <c r="AP78" s="1140">
        <f>AP61</f>
        <v>221</v>
      </c>
      <c r="AQ78" s="288">
        <f t="shared" si="180"/>
        <v>0</v>
      </c>
      <c r="AR78" s="288">
        <f t="shared" si="181" ref="AR78:AW78">AR61</f>
        <v>0</v>
      </c>
      <c r="AS78" s="288">
        <f t="shared" si="181"/>
        <v>0</v>
      </c>
      <c r="AT78" s="288">
        <f t="shared" si="181"/>
        <v>0</v>
      </c>
      <c r="AU78" s="1140">
        <f t="shared" si="181"/>
        <v>0</v>
      </c>
      <c r="AV78" s="288">
        <f t="shared" si="181"/>
        <v>0</v>
      </c>
      <c r="AW78" s="288">
        <f t="shared" si="181"/>
        <v>0</v>
      </c>
      <c r="AX78" s="288">
        <f t="shared" si="182" ref="AX78:BJ78">AX61</f>
        <v>0</v>
      </c>
      <c r="AY78" s="288">
        <f t="shared" si="182"/>
        <v>0</v>
      </c>
      <c r="AZ78" s="1140">
        <f t="shared" si="182"/>
        <v>0</v>
      </c>
      <c r="BA78" s="288">
        <f t="shared" si="183" ref="BA78:BI78">BA61</f>
        <v>0</v>
      </c>
      <c r="BB78" s="288">
        <f t="shared" si="183"/>
        <v>0</v>
      </c>
      <c r="BC78" s="288">
        <f t="shared" si="183"/>
        <v>0</v>
      </c>
      <c r="BD78" s="288">
        <f t="shared" si="183"/>
        <v>0</v>
      </c>
      <c r="BE78" s="1140">
        <f t="shared" si="183"/>
        <v>0</v>
      </c>
      <c r="BF78" s="288">
        <f>BF61</f>
        <v>0</v>
      </c>
      <c r="BG78" s="288">
        <f>BG61</f>
        <v>0</v>
      </c>
      <c r="BH78" s="875">
        <f>BH61</f>
        <v>0</v>
      </c>
      <c r="BI78" s="171">
        <f t="shared" si="183"/>
        <v>0</v>
      </c>
      <c r="BJ78" s="1133">
        <f t="shared" si="182"/>
        <v>0</v>
      </c>
      <c r="BK78" s="171">
        <f t="shared" si="184" ref="BK78:BR78">BK61</f>
        <v>0</v>
      </c>
      <c r="BL78" s="171">
        <f t="shared" si="184"/>
        <v>0</v>
      </c>
      <c r="BM78" s="171">
        <f t="shared" si="184"/>
        <v>0</v>
      </c>
      <c r="BN78" s="171">
        <f t="shared" si="184"/>
        <v>0</v>
      </c>
      <c r="BO78" s="1133">
        <f t="shared" si="184"/>
        <v>0</v>
      </c>
      <c r="BP78" s="1131">
        <f t="shared" si="184"/>
        <v>0</v>
      </c>
      <c r="BQ78" s="1131">
        <f t="shared" si="184"/>
        <v>0</v>
      </c>
      <c r="BR78" s="1133">
        <f t="shared" si="184"/>
        <v>0</v>
      </c>
      <c r="BS78" s="32"/>
    </row>
    <row r="79" spans="1:71" s="673" customFormat="1" ht="15">
      <c r="A79" s="115" t="s">
        <v>68</v>
      </c>
      <c r="B79" s="481"/>
      <c r="C79" s="1141">
        <f t="shared" si="185" ref="C79:AK79">C62+C70</f>
        <v>0</v>
      </c>
      <c r="D79" s="1141">
        <f t="shared" si="185"/>
        <v>0</v>
      </c>
      <c r="E79" s="1141">
        <f t="shared" si="185"/>
        <v>50</v>
      </c>
      <c r="F79" s="1141">
        <f t="shared" si="185"/>
        <v>31</v>
      </c>
      <c r="G79" s="1141">
        <f t="shared" si="185"/>
        <v>54</v>
      </c>
      <c r="H79" s="39">
        <f t="shared" si="185"/>
        <v>0</v>
      </c>
      <c r="I79" s="39">
        <f t="shared" si="185"/>
        <v>0</v>
      </c>
      <c r="J79" s="39">
        <f t="shared" si="185"/>
        <v>24</v>
      </c>
      <c r="K79" s="39">
        <f t="shared" si="185"/>
        <v>0</v>
      </c>
      <c r="L79" s="1141">
        <f t="shared" si="185"/>
        <v>24</v>
      </c>
      <c r="M79" s="39">
        <f t="shared" si="185"/>
        <v>0</v>
      </c>
      <c r="N79" s="39">
        <f t="shared" si="185"/>
        <v>0</v>
      </c>
      <c r="O79" s="39">
        <f t="shared" si="185"/>
        <v>67</v>
      </c>
      <c r="P79" s="39">
        <f t="shared" si="185"/>
        <v>0</v>
      </c>
      <c r="Q79" s="1141">
        <f t="shared" si="185"/>
        <v>67</v>
      </c>
      <c r="R79" s="39">
        <f t="shared" si="185"/>
        <v>0</v>
      </c>
      <c r="S79" s="39">
        <f t="shared" si="185"/>
        <v>65</v>
      </c>
      <c r="T79" s="39">
        <f t="shared" si="185"/>
        <v>36</v>
      </c>
      <c r="U79" s="39">
        <f t="shared" si="185"/>
        <v>0</v>
      </c>
      <c r="V79" s="1141">
        <f t="shared" si="185"/>
        <v>101</v>
      </c>
      <c r="W79" s="39">
        <f t="shared" si="185"/>
        <v>0</v>
      </c>
      <c r="X79" s="39">
        <f t="shared" si="185"/>
        <v>0</v>
      </c>
      <c r="Y79" s="39">
        <f t="shared" si="185"/>
        <v>89</v>
      </c>
      <c r="Z79" s="39">
        <f t="shared" si="185"/>
        <v>-18</v>
      </c>
      <c r="AA79" s="1141">
        <f t="shared" si="185"/>
        <v>71</v>
      </c>
      <c r="AB79" s="39">
        <f t="shared" si="185"/>
        <v>0</v>
      </c>
      <c r="AC79" s="39">
        <f t="shared" si="185"/>
        <v>0</v>
      </c>
      <c r="AD79" s="39">
        <f t="shared" si="185"/>
        <v>18</v>
      </c>
      <c r="AE79" s="39">
        <f t="shared" si="185"/>
        <v>0</v>
      </c>
      <c r="AF79" s="1141">
        <f t="shared" si="185"/>
        <v>18</v>
      </c>
      <c r="AG79" s="39">
        <f t="shared" si="185"/>
        <v>0</v>
      </c>
      <c r="AH79" s="39">
        <f t="shared" si="185"/>
        <v>0</v>
      </c>
      <c r="AI79" s="39">
        <f t="shared" si="185"/>
        <v>18</v>
      </c>
      <c r="AJ79" s="39">
        <f t="shared" si="185"/>
        <v>76</v>
      </c>
      <c r="AK79" s="1141">
        <f t="shared" si="185"/>
        <v>94</v>
      </c>
      <c r="AL79" s="39">
        <f t="shared" si="186" ref="AL79:AQ79">AL62+AL70</f>
        <v>32</v>
      </c>
      <c r="AM79" s="39">
        <f t="shared" si="186"/>
        <v>38</v>
      </c>
      <c r="AN79" s="39">
        <f t="shared" si="186"/>
        <v>67</v>
      </c>
      <c r="AO79" s="39">
        <f t="shared" si="186"/>
        <v>27</v>
      </c>
      <c r="AP79" s="1141">
        <f t="shared" si="186"/>
        <v>164</v>
      </c>
      <c r="AQ79" s="39">
        <f t="shared" si="186"/>
        <v>0</v>
      </c>
      <c r="AR79" s="39">
        <f t="shared" si="187" ref="AR79:AW79">AR62+AR70</f>
        <v>0</v>
      </c>
      <c r="AS79" s="39">
        <f t="shared" si="187"/>
        <v>0</v>
      </c>
      <c r="AT79" s="39">
        <f t="shared" si="187"/>
        <v>0</v>
      </c>
      <c r="AU79" s="1141">
        <f t="shared" si="187"/>
        <v>0</v>
      </c>
      <c r="AV79" s="39">
        <f t="shared" si="187"/>
        <v>0</v>
      </c>
      <c r="AW79" s="39">
        <f t="shared" si="187"/>
        <v>0</v>
      </c>
      <c r="AX79" s="39">
        <f t="shared" si="188" ref="AX79:BJ79">AX62+AX70</f>
        <v>0</v>
      </c>
      <c r="AY79" s="39">
        <f t="shared" si="188"/>
        <v>0</v>
      </c>
      <c r="AZ79" s="1141">
        <f t="shared" si="188"/>
        <v>0</v>
      </c>
      <c r="BA79" s="39">
        <f t="shared" si="189" ref="BA79:BI79">BA62+BA70</f>
        <v>0</v>
      </c>
      <c r="BB79" s="39">
        <f t="shared" si="189"/>
        <v>0</v>
      </c>
      <c r="BC79" s="39">
        <f t="shared" si="189"/>
        <v>0</v>
      </c>
      <c r="BD79" s="39">
        <f t="shared" si="189"/>
        <v>0</v>
      </c>
      <c r="BE79" s="1141">
        <f t="shared" si="189"/>
        <v>0</v>
      </c>
      <c r="BF79" s="39">
        <f>BF62+BF70</f>
        <v>0</v>
      </c>
      <c r="BG79" s="39">
        <f>BG62+BG70</f>
        <v>0</v>
      </c>
      <c r="BH79" s="876">
        <f>BH62+BH70</f>
        <v>0</v>
      </c>
      <c r="BI79" s="363">
        <f t="shared" si="189"/>
        <v>0</v>
      </c>
      <c r="BJ79" s="1134">
        <f t="shared" si="188"/>
        <v>0</v>
      </c>
      <c r="BK79" s="363">
        <f t="shared" si="190" ref="BK79:BR79">BK62+BK70</f>
        <v>0</v>
      </c>
      <c r="BL79" s="363">
        <f t="shared" si="190"/>
        <v>0</v>
      </c>
      <c r="BM79" s="363">
        <f t="shared" si="190"/>
        <v>0</v>
      </c>
      <c r="BN79" s="363">
        <f t="shared" si="190"/>
        <v>0</v>
      </c>
      <c r="BO79" s="1134">
        <f t="shared" si="190"/>
        <v>0</v>
      </c>
      <c r="BP79" s="1134">
        <f t="shared" si="190"/>
        <v>0</v>
      </c>
      <c r="BQ79" s="1134">
        <f t="shared" si="190"/>
        <v>0</v>
      </c>
      <c r="BR79" s="1134">
        <f t="shared" si="190"/>
        <v>0</v>
      </c>
      <c r="BS79" s="32"/>
    </row>
    <row r="80" spans="1:71" s="674" customFormat="1" ht="15">
      <c r="A80" s="100" t="s">
        <v>69</v>
      </c>
      <c r="B80" s="483"/>
      <c r="C80" s="1138">
        <f t="shared" si="191" ref="C80:AK80">SUM(C76:C79)</f>
        <v>1995</v>
      </c>
      <c r="D80" s="1138">
        <f t="shared" si="191"/>
        <v>2254</v>
      </c>
      <c r="E80" s="1138">
        <f t="shared" si="191"/>
        <v>2579</v>
      </c>
      <c r="F80" s="1138">
        <f t="shared" si="191"/>
        <v>2760</v>
      </c>
      <c r="G80" s="1138">
        <f t="shared" si="191"/>
        <v>3059</v>
      </c>
      <c r="H80" s="96">
        <f t="shared" si="191"/>
        <v>696</v>
      </c>
      <c r="I80" s="96">
        <f t="shared" si="191"/>
        <v>902</v>
      </c>
      <c r="J80" s="96">
        <f t="shared" si="191"/>
        <v>1086</v>
      </c>
      <c r="K80" s="96">
        <f t="shared" si="191"/>
        <v>982</v>
      </c>
      <c r="L80" s="1138">
        <f t="shared" si="191"/>
        <v>3666</v>
      </c>
      <c r="M80" s="96">
        <f t="shared" si="191"/>
        <v>889</v>
      </c>
      <c r="N80" s="96">
        <f t="shared" si="191"/>
        <v>939</v>
      </c>
      <c r="O80" s="96">
        <f t="shared" si="191"/>
        <v>1161</v>
      </c>
      <c r="P80" s="96">
        <f t="shared" si="191"/>
        <v>1026</v>
      </c>
      <c r="Q80" s="1138">
        <f t="shared" si="191"/>
        <v>4015</v>
      </c>
      <c r="R80" s="96">
        <f t="shared" si="191"/>
        <v>915</v>
      </c>
      <c r="S80" s="96">
        <f t="shared" si="191"/>
        <v>1035</v>
      </c>
      <c r="T80" s="96">
        <f t="shared" si="191"/>
        <v>1121</v>
      </c>
      <c r="U80" s="96">
        <f t="shared" si="191"/>
        <v>1040</v>
      </c>
      <c r="V80" s="1138">
        <f t="shared" si="191"/>
        <v>4111</v>
      </c>
      <c r="W80" s="96">
        <f t="shared" si="191"/>
        <v>948</v>
      </c>
      <c r="X80" s="96">
        <f t="shared" si="191"/>
        <v>1001</v>
      </c>
      <c r="Y80" s="96">
        <f t="shared" si="191"/>
        <v>1352</v>
      </c>
      <c r="Z80" s="96">
        <f t="shared" si="191"/>
        <v>1061</v>
      </c>
      <c r="AA80" s="1138">
        <f t="shared" si="191"/>
        <v>4362</v>
      </c>
      <c r="AB80" s="96">
        <f t="shared" si="191"/>
        <v>1022</v>
      </c>
      <c r="AC80" s="96">
        <f t="shared" si="191"/>
        <v>1093</v>
      </c>
      <c r="AD80" s="96">
        <f t="shared" si="191"/>
        <v>1296</v>
      </c>
      <c r="AE80" s="96">
        <f t="shared" si="191"/>
        <v>1175</v>
      </c>
      <c r="AF80" s="1138">
        <f t="shared" si="191"/>
        <v>4586</v>
      </c>
      <c r="AG80" s="96">
        <f t="shared" si="191"/>
        <v>1091</v>
      </c>
      <c r="AH80" s="96">
        <f t="shared" si="191"/>
        <v>1149</v>
      </c>
      <c r="AI80" s="96">
        <f t="shared" si="191"/>
        <v>1394</v>
      </c>
      <c r="AJ80" s="96">
        <f t="shared" si="191"/>
        <v>1362</v>
      </c>
      <c r="AK80" s="1138">
        <f t="shared" si="191"/>
        <v>4996</v>
      </c>
      <c r="AL80" s="96">
        <f t="shared" si="192" ref="AL80:AQ80">SUM(AL76:AL79)</f>
        <v>1127</v>
      </c>
      <c r="AM80" s="96">
        <f t="shared" si="192"/>
        <v>1180</v>
      </c>
      <c r="AN80" s="96">
        <f t="shared" si="192"/>
        <v>1369</v>
      </c>
      <c r="AO80" s="96">
        <f t="shared" si="192"/>
        <v>1220</v>
      </c>
      <c r="AP80" s="1138">
        <f t="shared" si="192"/>
        <v>4896</v>
      </c>
      <c r="AQ80" s="96">
        <f t="shared" si="192"/>
        <v>1047</v>
      </c>
      <c r="AR80" s="96">
        <f t="shared" si="193" ref="AR80:AW80">SUM(AR76:AR79)</f>
        <v>1103</v>
      </c>
      <c r="AS80" s="96">
        <f t="shared" si="193"/>
        <v>1370</v>
      </c>
      <c r="AT80" s="96">
        <f t="shared" si="193"/>
        <v>1180</v>
      </c>
      <c r="AU80" s="1138">
        <f t="shared" si="193"/>
        <v>4700</v>
      </c>
      <c r="AV80" s="96">
        <f t="shared" si="193"/>
        <v>1106</v>
      </c>
      <c r="AW80" s="96">
        <f t="shared" si="193"/>
        <v>1205</v>
      </c>
      <c r="AX80" s="96">
        <f t="shared" si="194" ref="AX80:BJ80">SUM(AX76:AX79)</f>
        <v>1618</v>
      </c>
      <c r="AY80" s="96">
        <f t="shared" si="194"/>
        <v>1414</v>
      </c>
      <c r="AZ80" s="1138">
        <f t="shared" si="194"/>
        <v>5343</v>
      </c>
      <c r="BA80" s="96">
        <f t="shared" si="195" ref="BA80:BI80">SUM(BA76:BA79)</f>
        <v>1292</v>
      </c>
      <c r="BB80" s="96">
        <f t="shared" si="195"/>
        <v>1391</v>
      </c>
      <c r="BC80" s="96">
        <f t="shared" si="195"/>
        <v>1735</v>
      </c>
      <c r="BD80" s="96">
        <f t="shared" si="195"/>
        <v>1532</v>
      </c>
      <c r="BE80" s="1138">
        <f t="shared" si="195"/>
        <v>5950</v>
      </c>
      <c r="BF80" s="96">
        <f>SUM(BF76:BF79)</f>
        <v>1409</v>
      </c>
      <c r="BG80" s="96">
        <f>SUM(BG76:BG79)</f>
        <v>1442</v>
      </c>
      <c r="BH80" s="874">
        <f>SUM(BH76:BH79)</f>
        <v>1946</v>
      </c>
      <c r="BI80" s="596">
        <f t="shared" si="195"/>
        <v>1288.4313219999999</v>
      </c>
      <c r="BJ80" s="1139">
        <f t="shared" si="194"/>
        <v>6085.4313219999985</v>
      </c>
      <c r="BK80" s="596">
        <f t="shared" si="196" ref="BK80:BR80">SUM(BK76:BK79)</f>
        <v>1295.6633785500003</v>
      </c>
      <c r="BL80" s="596">
        <f t="shared" si="196"/>
        <v>1357.0528320000003</v>
      </c>
      <c r="BM80" s="596">
        <f t="shared" si="196"/>
        <v>1487.0427503000001</v>
      </c>
      <c r="BN80" s="596">
        <f t="shared" si="196"/>
        <v>1303.3233616999996</v>
      </c>
      <c r="BO80" s="1139">
        <f t="shared" si="196"/>
        <v>5443.0823225499998</v>
      </c>
      <c r="BP80" s="1139">
        <f t="shared" si="196"/>
        <v>6280.0089346548502</v>
      </c>
      <c r="BQ80" s="1139">
        <f t="shared" si="196"/>
        <v>8130.9819811528214</v>
      </c>
      <c r="BR80" s="1139">
        <f t="shared" si="196"/>
        <v>8565.1012210091922</v>
      </c>
      <c r="BS80" s="37"/>
    </row>
    <row r="81" spans="1:71" s="674" customFormat="1" ht="15">
      <c r="A81" s="485"/>
      <c r="B81" s="486"/>
      <c r="C81" s="1147"/>
      <c r="D81" s="1147"/>
      <c r="E81" s="1147"/>
      <c r="F81" s="1147"/>
      <c r="G81" s="1147"/>
      <c r="H81" s="426"/>
      <c r="I81" s="426"/>
      <c r="J81" s="426"/>
      <c r="K81" s="426"/>
      <c r="L81" s="1147"/>
      <c r="M81" s="426"/>
      <c r="N81" s="426"/>
      <c r="O81" s="426"/>
      <c r="P81" s="426"/>
      <c r="Q81" s="1147"/>
      <c r="R81" s="426"/>
      <c r="S81" s="426"/>
      <c r="T81" s="426"/>
      <c r="U81" s="426"/>
      <c r="V81" s="1147"/>
      <c r="W81" s="426"/>
      <c r="X81" s="426"/>
      <c r="Y81" s="426"/>
      <c r="Z81" s="426"/>
      <c r="AA81" s="1147"/>
      <c r="AB81" s="426"/>
      <c r="AC81" s="426"/>
      <c r="AD81" s="426"/>
      <c r="AE81" s="426"/>
      <c r="AF81" s="1147"/>
      <c r="AG81" s="426"/>
      <c r="AH81" s="426"/>
      <c r="AI81" s="426"/>
      <c r="AJ81" s="426"/>
      <c r="AK81" s="1147"/>
      <c r="AL81" s="426"/>
      <c r="AM81" s="426"/>
      <c r="AN81" s="426"/>
      <c r="AO81" s="426"/>
      <c r="AP81" s="1147"/>
      <c r="AQ81" s="426"/>
      <c r="AR81" s="426"/>
      <c r="AS81" s="426"/>
      <c r="AT81" s="426"/>
      <c r="AU81" s="1147"/>
      <c r="AV81" s="426"/>
      <c r="AW81" s="426"/>
      <c r="AX81" s="426"/>
      <c r="AY81" s="426"/>
      <c r="AZ81" s="1147"/>
      <c r="BA81" s="426"/>
      <c r="BB81" s="426"/>
      <c r="BC81" s="426"/>
      <c r="BD81" s="426"/>
      <c r="BE81" s="1147"/>
      <c r="BF81" s="426"/>
      <c r="BG81" s="426"/>
      <c r="BH81" s="487"/>
      <c r="BI81" s="159"/>
      <c r="BJ81" s="1148"/>
      <c r="BK81" s="159"/>
      <c r="BL81" s="159"/>
      <c r="BM81" s="159"/>
      <c r="BN81" s="159"/>
      <c r="BO81" s="1148"/>
      <c r="BP81" s="1147"/>
      <c r="BQ81" s="1147"/>
      <c r="BR81" s="1148"/>
      <c r="BS81" s="37"/>
    </row>
    <row r="82" spans="1:71" s="673" customFormat="1" ht="15">
      <c r="A82" s="162" t="s">
        <v>70</v>
      </c>
      <c r="B82" s="480"/>
      <c r="C82" s="1140">
        <f t="shared" si="197" ref="C82:AK82">C36-C72</f>
        <v>0</v>
      </c>
      <c r="D82" s="1140">
        <f t="shared" si="197"/>
        <v>0</v>
      </c>
      <c r="E82" s="1140">
        <f t="shared" si="197"/>
        <v>113</v>
      </c>
      <c r="F82" s="1140">
        <f t="shared" si="197"/>
        <v>19</v>
      </c>
      <c r="G82" s="1140">
        <f t="shared" si="197"/>
        <v>12</v>
      </c>
      <c r="H82" s="288">
        <f t="shared" si="197"/>
        <v>6</v>
      </c>
      <c r="I82" s="288">
        <f t="shared" si="197"/>
        <v>-18</v>
      </c>
      <c r="J82" s="288">
        <f t="shared" si="197"/>
        <v>11</v>
      </c>
      <c r="K82" s="288">
        <f t="shared" si="197"/>
        <v>22</v>
      </c>
      <c r="L82" s="1140">
        <f t="shared" si="197"/>
        <v>21</v>
      </c>
      <c r="M82" s="288">
        <f t="shared" si="197"/>
        <v>7</v>
      </c>
      <c r="N82" s="288">
        <f t="shared" si="197"/>
        <v>-13</v>
      </c>
      <c r="O82" s="288">
        <f t="shared" si="197"/>
        <v>20</v>
      </c>
      <c r="P82" s="288">
        <f t="shared" si="197"/>
        <v>34</v>
      </c>
      <c r="Q82" s="1140">
        <f t="shared" si="197"/>
        <v>48</v>
      </c>
      <c r="R82" s="288">
        <f t="shared" si="197"/>
        <v>32</v>
      </c>
      <c r="S82" s="288">
        <f t="shared" si="197"/>
        <v>15</v>
      </c>
      <c r="T82" s="288">
        <f t="shared" si="197"/>
        <v>44</v>
      </c>
      <c r="U82" s="288">
        <f t="shared" si="197"/>
        <v>75</v>
      </c>
      <c r="V82" s="1140">
        <f t="shared" si="197"/>
        <v>166</v>
      </c>
      <c r="W82" s="288">
        <f t="shared" si="197"/>
        <v>43</v>
      </c>
      <c r="X82" s="288">
        <f t="shared" si="197"/>
        <v>21</v>
      </c>
      <c r="Y82" s="288">
        <f t="shared" si="197"/>
        <v>6</v>
      </c>
      <c r="Z82" s="288">
        <f t="shared" si="197"/>
        <v>84</v>
      </c>
      <c r="AA82" s="1140">
        <f t="shared" si="197"/>
        <v>154</v>
      </c>
      <c r="AB82" s="288">
        <f t="shared" si="197"/>
        <v>33</v>
      </c>
      <c r="AC82" s="288">
        <f t="shared" si="197"/>
        <v>23</v>
      </c>
      <c r="AD82" s="288">
        <f t="shared" si="197"/>
        <v>0</v>
      </c>
      <c r="AE82" s="288">
        <f t="shared" si="197"/>
        <v>64</v>
      </c>
      <c r="AF82" s="1140">
        <f t="shared" si="197"/>
        <v>120</v>
      </c>
      <c r="AG82" s="288">
        <f t="shared" si="197"/>
        <v>39</v>
      </c>
      <c r="AH82" s="288">
        <f t="shared" si="197"/>
        <v>4</v>
      </c>
      <c r="AI82" s="288">
        <f t="shared" si="197"/>
        <v>38</v>
      </c>
      <c r="AJ82" s="288">
        <f t="shared" si="197"/>
        <v>-2</v>
      </c>
      <c r="AK82" s="1140">
        <f t="shared" si="197"/>
        <v>79</v>
      </c>
      <c r="AL82" s="288">
        <f t="shared" si="198" ref="AL82:AV82">AL36-AL72</f>
        <v>27</v>
      </c>
      <c r="AM82" s="288">
        <f t="shared" si="198"/>
        <v>33</v>
      </c>
      <c r="AN82" s="288">
        <f t="shared" si="198"/>
        <v>47</v>
      </c>
      <c r="AO82" s="288">
        <f t="shared" si="198"/>
        <v>74</v>
      </c>
      <c r="AP82" s="1140">
        <f t="shared" si="198"/>
        <v>181</v>
      </c>
      <c r="AQ82" s="288">
        <f t="shared" si="198"/>
        <v>56</v>
      </c>
      <c r="AR82" s="288">
        <f t="shared" si="198"/>
        <v>62</v>
      </c>
      <c r="AS82" s="288">
        <f t="shared" si="198"/>
        <v>45</v>
      </c>
      <c r="AT82" s="288">
        <f t="shared" si="198"/>
        <v>116</v>
      </c>
      <c r="AU82" s="1140">
        <f t="shared" si="198"/>
        <v>279</v>
      </c>
      <c r="AV82" s="288">
        <f t="shared" si="198"/>
        <v>62</v>
      </c>
      <c r="AW82" s="288">
        <f t="shared" si="199" ref="AW82:AX85">AW36-AW72</f>
        <v>39</v>
      </c>
      <c r="AX82" s="288">
        <f t="shared" si="199"/>
        <v>39</v>
      </c>
      <c r="AY82" s="288">
        <f t="shared" si="200" ref="AY82:AZ85">AY36-AY72</f>
        <v>68</v>
      </c>
      <c r="AZ82" s="1140">
        <f t="shared" si="200"/>
        <v>208</v>
      </c>
      <c r="BA82" s="288">
        <f t="shared" si="201" ref="BA82:BB85">BA36-BA72</f>
        <v>43</v>
      </c>
      <c r="BB82" s="288">
        <f t="shared" si="201"/>
        <v>32</v>
      </c>
      <c r="BC82" s="288">
        <f t="shared" si="202" ref="BC82:BI85">BC36-BC72</f>
        <v>42</v>
      </c>
      <c r="BD82" s="288">
        <f t="shared" si="202"/>
        <v>67</v>
      </c>
      <c r="BE82" s="1140">
        <f t="shared" si="202"/>
        <v>184</v>
      </c>
      <c r="BF82" s="288">
        <f t="shared" si="203" ref="BF82:BG85">BF36-BF72</f>
        <v>56</v>
      </c>
      <c r="BG82" s="288">
        <f t="shared" si="203"/>
        <v>39</v>
      </c>
      <c r="BH82" s="875">
        <f>BH36-BH72</f>
        <v>34</v>
      </c>
      <c r="BI82" s="171">
        <f t="shared" si="202"/>
        <v>39.004784000000029</v>
      </c>
      <c r="BJ82" s="1133">
        <f t="shared" si="204" ref="BJ82:BJ85">BJ36-BJ72</f>
        <v>168.0047840000002</v>
      </c>
      <c r="BK82" s="171">
        <f t="shared" si="205" ref="BK82:BR85">BK36-BK72</f>
        <v>127.46409444999995</v>
      </c>
      <c r="BL82" s="171">
        <f t="shared" si="205"/>
        <v>92.315607999999997</v>
      </c>
      <c r="BM82" s="171">
        <f t="shared" si="205"/>
        <v>102.76808219999998</v>
      </c>
      <c r="BN82" s="171">
        <f t="shared" si="205"/>
        <v>141.70755507999996</v>
      </c>
      <c r="BO82" s="1133">
        <f t="shared" si="205"/>
        <v>464.25533973000029</v>
      </c>
      <c r="BP82" s="1131">
        <f t="shared" si="205"/>
        <v>354.07086326640001</v>
      </c>
      <c r="BQ82" s="1131">
        <f t="shared" si="205"/>
        <v>511.63239741994767</v>
      </c>
      <c r="BR82" s="1133">
        <f t="shared" si="205"/>
        <v>521.86504536834673</v>
      </c>
      <c r="BS82" s="32"/>
    </row>
    <row r="83" spans="1:71" s="673" customFormat="1" ht="15">
      <c r="A83" s="162" t="s">
        <v>71</v>
      </c>
      <c r="B83" s="480"/>
      <c r="C83" s="1140">
        <f t="shared" si="206" ref="C83:AK83">C37-C73</f>
        <v>0</v>
      </c>
      <c r="D83" s="1140">
        <f t="shared" si="206"/>
        <v>0</v>
      </c>
      <c r="E83" s="1140">
        <f t="shared" si="206"/>
        <v>35</v>
      </c>
      <c r="F83" s="1140">
        <f t="shared" si="206"/>
        <v>53</v>
      </c>
      <c r="G83" s="1140">
        <f t="shared" si="206"/>
        <v>102</v>
      </c>
      <c r="H83" s="288">
        <f t="shared" si="206"/>
        <v>38</v>
      </c>
      <c r="I83" s="288">
        <f t="shared" si="206"/>
        <v>30</v>
      </c>
      <c r="J83" s="288">
        <f t="shared" si="206"/>
        <v>32</v>
      </c>
      <c r="K83" s="288">
        <f t="shared" si="206"/>
        <v>36</v>
      </c>
      <c r="L83" s="1140">
        <f t="shared" si="206"/>
        <v>136</v>
      </c>
      <c r="M83" s="288">
        <f t="shared" si="206"/>
        <v>28</v>
      </c>
      <c r="N83" s="288">
        <f t="shared" si="206"/>
        <v>37</v>
      </c>
      <c r="O83" s="288">
        <f t="shared" si="206"/>
        <v>31</v>
      </c>
      <c r="P83" s="288">
        <f t="shared" si="206"/>
        <v>50</v>
      </c>
      <c r="Q83" s="1140">
        <f t="shared" si="206"/>
        <v>146</v>
      </c>
      <c r="R83" s="288">
        <f t="shared" si="206"/>
        <v>29</v>
      </c>
      <c r="S83" s="288">
        <f t="shared" si="206"/>
        <v>23</v>
      </c>
      <c r="T83" s="288">
        <f t="shared" si="206"/>
        <v>13</v>
      </c>
      <c r="U83" s="288">
        <f t="shared" si="206"/>
        <v>13</v>
      </c>
      <c r="V83" s="1140">
        <f t="shared" si="206"/>
        <v>78</v>
      </c>
      <c r="W83" s="288">
        <f t="shared" si="206"/>
        <v>15</v>
      </c>
      <c r="X83" s="288">
        <f t="shared" si="206"/>
        <v>29</v>
      </c>
      <c r="Y83" s="288">
        <f t="shared" si="206"/>
        <v>2</v>
      </c>
      <c r="Z83" s="288">
        <f t="shared" si="206"/>
        <v>58</v>
      </c>
      <c r="AA83" s="1140">
        <f t="shared" si="206"/>
        <v>104</v>
      </c>
      <c r="AB83" s="288">
        <f t="shared" si="206"/>
        <v>41</v>
      </c>
      <c r="AC83" s="288">
        <f t="shared" si="206"/>
        <v>29</v>
      </c>
      <c r="AD83" s="288">
        <f t="shared" si="206"/>
        <v>49</v>
      </c>
      <c r="AE83" s="288">
        <f t="shared" si="206"/>
        <v>22</v>
      </c>
      <c r="AF83" s="1140">
        <f t="shared" si="206"/>
        <v>141</v>
      </c>
      <c r="AG83" s="288">
        <f t="shared" si="206"/>
        <v>36</v>
      </c>
      <c r="AH83" s="288">
        <f t="shared" si="206"/>
        <v>47</v>
      </c>
      <c r="AI83" s="288">
        <f t="shared" si="206"/>
        <v>23</v>
      </c>
      <c r="AJ83" s="288">
        <f t="shared" si="206"/>
        <v>69</v>
      </c>
      <c r="AK83" s="1140">
        <f t="shared" si="206"/>
        <v>175</v>
      </c>
      <c r="AL83" s="288">
        <f t="shared" si="207" ref="AL83:AV83">AL37-AL73</f>
        <v>52</v>
      </c>
      <c r="AM83" s="288">
        <f t="shared" si="207"/>
        <v>27</v>
      </c>
      <c r="AN83" s="288">
        <f t="shared" si="207"/>
        <v>53</v>
      </c>
      <c r="AO83" s="288">
        <f t="shared" si="207"/>
        <v>91</v>
      </c>
      <c r="AP83" s="1140">
        <f t="shared" si="207"/>
        <v>223</v>
      </c>
      <c r="AQ83" s="288">
        <f t="shared" si="207"/>
        <v>56</v>
      </c>
      <c r="AR83" s="288">
        <f t="shared" si="207"/>
        <v>71</v>
      </c>
      <c r="AS83" s="288">
        <f t="shared" si="207"/>
        <v>110</v>
      </c>
      <c r="AT83" s="288">
        <f t="shared" si="207"/>
        <v>140</v>
      </c>
      <c r="AU83" s="1140">
        <f t="shared" si="207"/>
        <v>377</v>
      </c>
      <c r="AV83" s="288">
        <f t="shared" si="207"/>
        <v>124</v>
      </c>
      <c r="AW83" s="288">
        <f t="shared" si="199"/>
        <v>130</v>
      </c>
      <c r="AX83" s="288">
        <f t="shared" si="199"/>
        <v>118</v>
      </c>
      <c r="AY83" s="288">
        <f t="shared" si="200"/>
        <v>128</v>
      </c>
      <c r="AZ83" s="1140">
        <f t="shared" si="200"/>
        <v>500</v>
      </c>
      <c r="BA83" s="288">
        <f t="shared" si="201"/>
        <v>88</v>
      </c>
      <c r="BB83" s="288">
        <f t="shared" si="201"/>
        <v>95</v>
      </c>
      <c r="BC83" s="288">
        <f t="shared" si="202"/>
        <v>78</v>
      </c>
      <c r="BD83" s="288">
        <f t="shared" si="202"/>
        <v>114</v>
      </c>
      <c r="BE83" s="1140">
        <f t="shared" si="202"/>
        <v>375</v>
      </c>
      <c r="BF83" s="288">
        <f t="shared" si="203"/>
        <v>74</v>
      </c>
      <c r="BG83" s="288">
        <f t="shared" si="203"/>
        <v>108</v>
      </c>
      <c r="BH83" s="875">
        <f>BH37-BH73</f>
        <v>76</v>
      </c>
      <c r="BI83" s="171">
        <f t="shared" si="202"/>
        <v>84.799493999999981</v>
      </c>
      <c r="BJ83" s="1133">
        <f t="shared" si="204"/>
        <v>342.79949399999987</v>
      </c>
      <c r="BK83" s="171">
        <f t="shared" si="205"/>
        <v>91.641185999999948</v>
      </c>
      <c r="BL83" s="171">
        <f t="shared" si="205"/>
        <v>78.996059999999943</v>
      </c>
      <c r="BM83" s="171">
        <f t="shared" si="205"/>
        <v>87.635047500000042</v>
      </c>
      <c r="BN83" s="171">
        <f t="shared" si="205"/>
        <v>95.823428219999983</v>
      </c>
      <c r="BO83" s="1133">
        <f t="shared" si="205"/>
        <v>354.0957217199998</v>
      </c>
      <c r="BP83" s="1131">
        <f t="shared" si="205"/>
        <v>458.02436691375033</v>
      </c>
      <c r="BQ83" s="1131">
        <f t="shared" si="205"/>
        <v>560.62182510242974</v>
      </c>
      <c r="BR83" s="1133">
        <f t="shared" si="205"/>
        <v>605.47157111062461</v>
      </c>
      <c r="BS83" s="32"/>
    </row>
    <row r="84" spans="1:71" s="673" customFormat="1" ht="15">
      <c r="A84" s="162" t="s">
        <v>72</v>
      </c>
      <c r="B84" s="480"/>
      <c r="C84" s="1140">
        <f t="shared" si="208" ref="C84:AK84">C38-C74</f>
        <v>0</v>
      </c>
      <c r="D84" s="1140">
        <f t="shared" si="208"/>
        <v>0</v>
      </c>
      <c r="E84" s="1140">
        <f t="shared" si="208"/>
        <v>65</v>
      </c>
      <c r="F84" s="1140">
        <f t="shared" si="208"/>
        <v>44</v>
      </c>
      <c r="G84" s="1140">
        <f t="shared" si="208"/>
        <v>67</v>
      </c>
      <c r="H84" s="288">
        <f t="shared" si="208"/>
        <v>10</v>
      </c>
      <c r="I84" s="288">
        <f t="shared" si="208"/>
        <v>15</v>
      </c>
      <c r="J84" s="288">
        <f t="shared" si="208"/>
        <v>21</v>
      </c>
      <c r="K84" s="288">
        <f t="shared" si="208"/>
        <v>18</v>
      </c>
      <c r="L84" s="1140">
        <f t="shared" si="208"/>
        <v>64</v>
      </c>
      <c r="M84" s="288">
        <f t="shared" si="208"/>
        <v>22</v>
      </c>
      <c r="N84" s="288">
        <f t="shared" si="208"/>
        <v>24</v>
      </c>
      <c r="O84" s="288">
        <f t="shared" si="208"/>
        <v>26</v>
      </c>
      <c r="P84" s="288">
        <f t="shared" si="208"/>
        <v>15</v>
      </c>
      <c r="Q84" s="1140">
        <f t="shared" si="208"/>
        <v>87</v>
      </c>
      <c r="R84" s="288">
        <f t="shared" si="208"/>
        <v>23</v>
      </c>
      <c r="S84" s="288">
        <f t="shared" si="208"/>
        <v>22</v>
      </c>
      <c r="T84" s="288">
        <f t="shared" si="208"/>
        <v>19</v>
      </c>
      <c r="U84" s="288">
        <f t="shared" si="208"/>
        <v>20</v>
      </c>
      <c r="V84" s="1140">
        <f t="shared" si="208"/>
        <v>84</v>
      </c>
      <c r="W84" s="288">
        <f t="shared" si="208"/>
        <v>22</v>
      </c>
      <c r="X84" s="288">
        <f t="shared" si="208"/>
        <v>23</v>
      </c>
      <c r="Y84" s="288">
        <f t="shared" si="208"/>
        <v>-3</v>
      </c>
      <c r="Z84" s="288">
        <f t="shared" si="208"/>
        <v>19</v>
      </c>
      <c r="AA84" s="1140">
        <f t="shared" si="208"/>
        <v>61</v>
      </c>
      <c r="AB84" s="288">
        <f t="shared" si="208"/>
        <v>15</v>
      </c>
      <c r="AC84" s="288">
        <f t="shared" si="208"/>
        <v>22</v>
      </c>
      <c r="AD84" s="288">
        <f t="shared" si="208"/>
        <v>9</v>
      </c>
      <c r="AE84" s="288">
        <f t="shared" si="208"/>
        <v>20</v>
      </c>
      <c r="AF84" s="1140">
        <f t="shared" si="208"/>
        <v>66</v>
      </c>
      <c r="AG84" s="288">
        <f t="shared" si="208"/>
        <v>13</v>
      </c>
      <c r="AH84" s="288">
        <f t="shared" si="208"/>
        <v>21</v>
      </c>
      <c r="AI84" s="288">
        <f t="shared" si="208"/>
        <v>26</v>
      </c>
      <c r="AJ84" s="288">
        <f t="shared" si="208"/>
        <v>32</v>
      </c>
      <c r="AK84" s="1140">
        <f t="shared" si="208"/>
        <v>92</v>
      </c>
      <c r="AL84" s="288">
        <f t="shared" si="209" ref="AL84:AV84">AL38-AL74</f>
        <v>17</v>
      </c>
      <c r="AM84" s="288">
        <f t="shared" si="209"/>
        <v>0</v>
      </c>
      <c r="AN84" s="288">
        <f t="shared" si="209"/>
        <v>13</v>
      </c>
      <c r="AO84" s="288">
        <f t="shared" si="209"/>
        <v>20</v>
      </c>
      <c r="AP84" s="1140">
        <f t="shared" si="209"/>
        <v>50</v>
      </c>
      <c r="AQ84" s="288">
        <f t="shared" si="209"/>
        <v>25</v>
      </c>
      <c r="AR84" s="288">
        <f t="shared" si="209"/>
        <v>21</v>
      </c>
      <c r="AS84" s="288">
        <f t="shared" si="209"/>
        <v>26</v>
      </c>
      <c r="AT84" s="288">
        <f t="shared" si="209"/>
        <v>24</v>
      </c>
      <c r="AU84" s="1140">
        <f t="shared" si="209"/>
        <v>96</v>
      </c>
      <c r="AV84" s="288">
        <f t="shared" si="209"/>
        <v>29</v>
      </c>
      <c r="AW84" s="288">
        <f t="shared" si="199"/>
        <v>37</v>
      </c>
      <c r="AX84" s="288">
        <f t="shared" si="199"/>
        <v>15</v>
      </c>
      <c r="AY84" s="288">
        <f t="shared" si="200"/>
        <v>33</v>
      </c>
      <c r="AZ84" s="1140">
        <f t="shared" si="200"/>
        <v>114</v>
      </c>
      <c r="BA84" s="288">
        <f t="shared" si="201"/>
        <v>26</v>
      </c>
      <c r="BB84" s="288">
        <f t="shared" si="201"/>
        <v>10</v>
      </c>
      <c r="BC84" s="288">
        <f t="shared" si="202"/>
        <v>29</v>
      </c>
      <c r="BD84" s="288">
        <f t="shared" si="202"/>
        <v>45</v>
      </c>
      <c r="BE84" s="1140">
        <f t="shared" si="202"/>
        <v>110</v>
      </c>
      <c r="BF84" s="288">
        <f t="shared" si="203"/>
        <v>33</v>
      </c>
      <c r="BG84" s="288">
        <f t="shared" si="203"/>
        <v>25</v>
      </c>
      <c r="BH84" s="875">
        <f>BH38-BH74</f>
        <v>22</v>
      </c>
      <c r="BI84" s="171">
        <f t="shared" si="202"/>
        <v>28.728000000000009</v>
      </c>
      <c r="BJ84" s="1133">
        <f t="shared" si="204"/>
        <v>108.72800000000007</v>
      </c>
      <c r="BK84" s="171">
        <f t="shared" si="205"/>
        <v>27.349056000000019</v>
      </c>
      <c r="BL84" s="171">
        <f t="shared" si="205"/>
        <v>28.120949999999993</v>
      </c>
      <c r="BM84" s="171">
        <f t="shared" si="205"/>
        <v>30.882599999999996</v>
      </c>
      <c r="BN84" s="171">
        <f t="shared" si="205"/>
        <v>32.175360000000012</v>
      </c>
      <c r="BO84" s="1133">
        <f t="shared" si="205"/>
        <v>118.52796599999999</v>
      </c>
      <c r="BP84" s="1131">
        <f t="shared" si="205"/>
        <v>113.28575580000006</v>
      </c>
      <c r="BQ84" s="1131">
        <f t="shared" si="205"/>
        <v>138.53229566400023</v>
      </c>
      <c r="BR84" s="1133">
        <f t="shared" si="205"/>
        <v>148.22955636048027</v>
      </c>
      <c r="BS84" s="32"/>
    </row>
    <row r="85" spans="1:71" s="673" customFormat="1" ht="15">
      <c r="A85" s="99" t="s">
        <v>73</v>
      </c>
      <c r="B85" s="481"/>
      <c r="C85" s="1141">
        <f t="shared" si="210" ref="C85:AK85">C39-C75</f>
        <v>0</v>
      </c>
      <c r="D85" s="1141">
        <f t="shared" si="210"/>
        <v>0</v>
      </c>
      <c r="E85" s="1141">
        <f t="shared" si="210"/>
        <v>18</v>
      </c>
      <c r="F85" s="1141">
        <f t="shared" si="210"/>
        <v>15</v>
      </c>
      <c r="G85" s="1141">
        <f t="shared" si="210"/>
        <v>25</v>
      </c>
      <c r="H85" s="39">
        <f t="shared" si="210"/>
        <v>5</v>
      </c>
      <c r="I85" s="39">
        <f t="shared" si="210"/>
        <v>2</v>
      </c>
      <c r="J85" s="39">
        <f t="shared" si="210"/>
        <v>6</v>
      </c>
      <c r="K85" s="39">
        <f t="shared" si="210"/>
        <v>3</v>
      </c>
      <c r="L85" s="1141">
        <f t="shared" si="210"/>
        <v>16</v>
      </c>
      <c r="M85" s="39">
        <f t="shared" si="210"/>
        <v>3</v>
      </c>
      <c r="N85" s="39">
        <f t="shared" si="210"/>
        <v>3</v>
      </c>
      <c r="O85" s="39">
        <f t="shared" si="210"/>
        <v>7</v>
      </c>
      <c r="P85" s="39">
        <f t="shared" si="210"/>
        <v>1</v>
      </c>
      <c r="Q85" s="1141">
        <f t="shared" si="210"/>
        <v>14</v>
      </c>
      <c r="R85" s="39">
        <f t="shared" si="210"/>
        <v>2</v>
      </c>
      <c r="S85" s="39">
        <f t="shared" si="210"/>
        <v>3</v>
      </c>
      <c r="T85" s="39">
        <f t="shared" si="210"/>
        <v>2</v>
      </c>
      <c r="U85" s="39">
        <f t="shared" si="210"/>
        <v>2</v>
      </c>
      <c r="V85" s="1141">
        <f t="shared" si="210"/>
        <v>9</v>
      </c>
      <c r="W85" s="39">
        <f t="shared" si="210"/>
        <v>-1</v>
      </c>
      <c r="X85" s="39">
        <f t="shared" si="210"/>
        <v>0</v>
      </c>
      <c r="Y85" s="39">
        <f t="shared" si="210"/>
        <v>4</v>
      </c>
      <c r="Z85" s="39">
        <f t="shared" si="210"/>
        <v>-5</v>
      </c>
      <c r="AA85" s="1141">
        <f t="shared" si="210"/>
        <v>-2</v>
      </c>
      <c r="AB85" s="39">
        <f t="shared" si="210"/>
        <v>3</v>
      </c>
      <c r="AC85" s="39">
        <f t="shared" si="210"/>
        <v>-1</v>
      </c>
      <c r="AD85" s="39">
        <f t="shared" si="210"/>
        <v>-3</v>
      </c>
      <c r="AE85" s="39">
        <f t="shared" si="210"/>
        <v>-4</v>
      </c>
      <c r="AF85" s="1141">
        <f t="shared" si="210"/>
        <v>-5</v>
      </c>
      <c r="AG85" s="39">
        <f t="shared" si="210"/>
        <v>0</v>
      </c>
      <c r="AH85" s="39">
        <f t="shared" si="210"/>
        <v>-12</v>
      </c>
      <c r="AI85" s="39">
        <f t="shared" si="210"/>
        <v>1</v>
      </c>
      <c r="AJ85" s="39">
        <f t="shared" si="210"/>
        <v>-10</v>
      </c>
      <c r="AK85" s="1141">
        <f t="shared" si="210"/>
        <v>-21</v>
      </c>
      <c r="AL85" s="39">
        <f t="shared" si="211" ref="AL85:AV85">AL39-AL75</f>
        <v>64</v>
      </c>
      <c r="AM85" s="39">
        <f t="shared" si="211"/>
        <v>55</v>
      </c>
      <c r="AN85" s="39">
        <f t="shared" si="211"/>
        <v>32</v>
      </c>
      <c r="AO85" s="39">
        <f t="shared" si="211"/>
        <v>4</v>
      </c>
      <c r="AP85" s="1141">
        <f t="shared" si="211"/>
        <v>155</v>
      </c>
      <c r="AQ85" s="39">
        <f t="shared" si="211"/>
        <v>-3</v>
      </c>
      <c r="AR85" s="39">
        <f t="shared" si="211"/>
        <v>-1</v>
      </c>
      <c r="AS85" s="39">
        <f t="shared" si="211"/>
        <v>-12</v>
      </c>
      <c r="AT85" s="39">
        <f t="shared" si="211"/>
        <v>1</v>
      </c>
      <c r="AU85" s="1141">
        <f t="shared" si="211"/>
        <v>-15</v>
      </c>
      <c r="AV85" s="39">
        <f t="shared" si="211"/>
        <v>-7</v>
      </c>
      <c r="AW85" s="39">
        <f t="shared" si="199"/>
        <v>-9</v>
      </c>
      <c r="AX85" s="39">
        <f t="shared" si="199"/>
        <v>-14</v>
      </c>
      <c r="AY85" s="39">
        <f t="shared" si="200"/>
        <v>-12</v>
      </c>
      <c r="AZ85" s="1141">
        <f t="shared" si="200"/>
        <v>-42</v>
      </c>
      <c r="BA85" s="39">
        <f t="shared" si="201"/>
        <v>-2</v>
      </c>
      <c r="BB85" s="39">
        <f t="shared" si="201"/>
        <v>-14</v>
      </c>
      <c r="BC85" s="39">
        <f t="shared" si="202"/>
        <v>-6</v>
      </c>
      <c r="BD85" s="39">
        <f t="shared" si="202"/>
        <v>-14</v>
      </c>
      <c r="BE85" s="1141">
        <f t="shared" si="202"/>
        <v>-36</v>
      </c>
      <c r="BF85" s="39">
        <f t="shared" si="203"/>
        <v>-9</v>
      </c>
      <c r="BG85" s="39">
        <f t="shared" si="203"/>
        <v>-21</v>
      </c>
      <c r="BH85" s="876">
        <f>BH39-BH75</f>
        <v>-15</v>
      </c>
      <c r="BI85" s="363">
        <f t="shared" si="202"/>
        <v>-2.7000000000000028</v>
      </c>
      <c r="BJ85" s="1134">
        <f t="shared" si="204"/>
        <v>-47.699999999999989</v>
      </c>
      <c r="BK85" s="363">
        <f t="shared" si="205"/>
        <v>-2.3850000000000051</v>
      </c>
      <c r="BL85" s="363">
        <f t="shared" si="205"/>
        <v>-2.3850000000000051</v>
      </c>
      <c r="BM85" s="363">
        <f t="shared" si="205"/>
        <v>-1.7999999999999972</v>
      </c>
      <c r="BN85" s="363">
        <f t="shared" si="205"/>
        <v>-2.7000000000000028</v>
      </c>
      <c r="BO85" s="1134">
        <f t="shared" si="205"/>
        <v>-9.2700000000000102</v>
      </c>
      <c r="BP85" s="1134">
        <f t="shared" si="205"/>
        <v>-9</v>
      </c>
      <c r="BQ85" s="1134">
        <f t="shared" si="205"/>
        <v>-9.5400000000000205</v>
      </c>
      <c r="BR85" s="1134">
        <f t="shared" si="205"/>
        <v>-9.5400000000000205</v>
      </c>
      <c r="BS85" s="32"/>
    </row>
    <row r="86" spans="1:71" s="673" customFormat="1" ht="15">
      <c r="A86" s="360" t="s">
        <v>74</v>
      </c>
      <c r="B86" s="490"/>
      <c r="C86" s="1159">
        <f>C40-C76</f>
        <v>417</v>
      </c>
      <c r="D86" s="1159">
        <f>D40-D76</f>
        <v>296</v>
      </c>
      <c r="E86" s="1159">
        <f t="shared" si="212" ref="E86:AK86">SUM(E82:E85)</f>
        <v>231</v>
      </c>
      <c r="F86" s="1159">
        <f t="shared" si="212"/>
        <v>131</v>
      </c>
      <c r="G86" s="1159">
        <f t="shared" si="212"/>
        <v>206</v>
      </c>
      <c r="H86" s="125">
        <f t="shared" si="212"/>
        <v>59</v>
      </c>
      <c r="I86" s="125">
        <f t="shared" si="212"/>
        <v>29</v>
      </c>
      <c r="J86" s="125">
        <f t="shared" si="212"/>
        <v>70</v>
      </c>
      <c r="K86" s="125">
        <f t="shared" si="212"/>
        <v>79</v>
      </c>
      <c r="L86" s="1159">
        <f t="shared" si="212"/>
        <v>237</v>
      </c>
      <c r="M86" s="125">
        <f t="shared" si="212"/>
        <v>60</v>
      </c>
      <c r="N86" s="125">
        <f t="shared" si="212"/>
        <v>51</v>
      </c>
      <c r="O86" s="125">
        <f t="shared" si="212"/>
        <v>84</v>
      </c>
      <c r="P86" s="125">
        <f t="shared" si="212"/>
        <v>100</v>
      </c>
      <c r="Q86" s="1159">
        <f t="shared" si="212"/>
        <v>295</v>
      </c>
      <c r="R86" s="125">
        <f t="shared" si="212"/>
        <v>86</v>
      </c>
      <c r="S86" s="125">
        <f t="shared" si="212"/>
        <v>63</v>
      </c>
      <c r="T86" s="125">
        <f t="shared" si="212"/>
        <v>78</v>
      </c>
      <c r="U86" s="125">
        <f t="shared" si="212"/>
        <v>110</v>
      </c>
      <c r="V86" s="1159">
        <f t="shared" si="212"/>
        <v>337</v>
      </c>
      <c r="W86" s="125">
        <f t="shared" si="212"/>
        <v>79</v>
      </c>
      <c r="X86" s="125">
        <f t="shared" si="212"/>
        <v>73</v>
      </c>
      <c r="Y86" s="125">
        <f t="shared" si="212"/>
        <v>9</v>
      </c>
      <c r="Z86" s="125">
        <f t="shared" si="212"/>
        <v>156</v>
      </c>
      <c r="AA86" s="1159">
        <f t="shared" si="212"/>
        <v>317</v>
      </c>
      <c r="AB86" s="125">
        <f t="shared" si="212"/>
        <v>92</v>
      </c>
      <c r="AC86" s="125">
        <f t="shared" si="212"/>
        <v>73</v>
      </c>
      <c r="AD86" s="125">
        <f t="shared" si="212"/>
        <v>55</v>
      </c>
      <c r="AE86" s="125">
        <f t="shared" si="212"/>
        <v>102</v>
      </c>
      <c r="AF86" s="1159">
        <f t="shared" si="212"/>
        <v>322</v>
      </c>
      <c r="AG86" s="125">
        <f t="shared" si="212"/>
        <v>88</v>
      </c>
      <c r="AH86" s="125">
        <f t="shared" si="212"/>
        <v>60</v>
      </c>
      <c r="AI86" s="125">
        <f t="shared" si="212"/>
        <v>88</v>
      </c>
      <c r="AJ86" s="125">
        <f t="shared" si="212"/>
        <v>89</v>
      </c>
      <c r="AK86" s="1159">
        <f t="shared" si="212"/>
        <v>325</v>
      </c>
      <c r="AL86" s="125">
        <f t="shared" si="213" ref="AL86:AQ86">SUM(AL82:AL85)</f>
        <v>160</v>
      </c>
      <c r="AM86" s="125">
        <f t="shared" si="213"/>
        <v>115</v>
      </c>
      <c r="AN86" s="125">
        <f t="shared" si="213"/>
        <v>145</v>
      </c>
      <c r="AO86" s="125">
        <f t="shared" si="213"/>
        <v>189</v>
      </c>
      <c r="AP86" s="1159">
        <f t="shared" si="213"/>
        <v>609</v>
      </c>
      <c r="AQ86" s="125">
        <f t="shared" si="213"/>
        <v>134</v>
      </c>
      <c r="AR86" s="125">
        <f t="shared" si="214" ref="AR86:AW86">SUM(AR82:AR85)</f>
        <v>153</v>
      </c>
      <c r="AS86" s="125">
        <f t="shared" si="214"/>
        <v>169</v>
      </c>
      <c r="AT86" s="125">
        <f t="shared" si="214"/>
        <v>281</v>
      </c>
      <c r="AU86" s="1159">
        <f t="shared" si="214"/>
        <v>737</v>
      </c>
      <c r="AV86" s="125">
        <f t="shared" si="214"/>
        <v>208</v>
      </c>
      <c r="AW86" s="125">
        <f t="shared" si="214"/>
        <v>197</v>
      </c>
      <c r="AX86" s="125">
        <f t="shared" si="215" ref="AX86:BJ86">SUM(AX82:AX85)</f>
        <v>158</v>
      </c>
      <c r="AY86" s="125">
        <f t="shared" si="215"/>
        <v>217</v>
      </c>
      <c r="AZ86" s="1159">
        <f t="shared" si="215"/>
        <v>780</v>
      </c>
      <c r="BA86" s="125">
        <f t="shared" si="216" ref="BA86:BI86">SUM(BA82:BA85)</f>
        <v>155</v>
      </c>
      <c r="BB86" s="125">
        <f t="shared" si="216"/>
        <v>123</v>
      </c>
      <c r="BC86" s="125">
        <f t="shared" si="216"/>
        <v>143</v>
      </c>
      <c r="BD86" s="125">
        <f t="shared" si="216"/>
        <v>212</v>
      </c>
      <c r="BE86" s="1159">
        <f t="shared" si="216"/>
        <v>633</v>
      </c>
      <c r="BF86" s="125">
        <f>SUM(BF82:BF85)</f>
        <v>154</v>
      </c>
      <c r="BG86" s="125">
        <f>SUM(BG82:BG85)</f>
        <v>151</v>
      </c>
      <c r="BH86" s="880">
        <f>SUM(BH82:BH85)</f>
        <v>117</v>
      </c>
      <c r="BI86" s="617">
        <f t="shared" si="216"/>
        <v>149.83227800000003</v>
      </c>
      <c r="BJ86" s="1157">
        <f t="shared" si="215"/>
        <v>571.83227800000009</v>
      </c>
      <c r="BK86" s="617">
        <f t="shared" si="217" ref="BK86:BR86">SUM(BK82:BK85)</f>
        <v>244.06933644999992</v>
      </c>
      <c r="BL86" s="617">
        <f t="shared" si="217"/>
        <v>197.04761799999994</v>
      </c>
      <c r="BM86" s="617">
        <f t="shared" si="217"/>
        <v>219.48572970000004</v>
      </c>
      <c r="BN86" s="617">
        <f t="shared" si="217"/>
        <v>267.00634329999997</v>
      </c>
      <c r="BO86" s="1157">
        <f t="shared" si="217"/>
        <v>927.6090274500001</v>
      </c>
      <c r="BP86" s="1157">
        <f t="shared" si="217"/>
        <v>916.3809859801504</v>
      </c>
      <c r="BQ86" s="1157">
        <f t="shared" si="217"/>
        <v>1201.2465181863777</v>
      </c>
      <c r="BR86" s="1157">
        <f t="shared" si="217"/>
        <v>1266.0261728394516</v>
      </c>
      <c r="BS86" s="32"/>
    </row>
    <row r="87" spans="1:71" s="673" customFormat="1" ht="15">
      <c r="A87" s="420" t="s">
        <v>75</v>
      </c>
      <c r="B87" s="480"/>
      <c r="C87" s="1131">
        <f t="shared" si="218" ref="C87:AK87">-C77</f>
        <v>0</v>
      </c>
      <c r="D87" s="1131">
        <f t="shared" si="218"/>
        <v>0</v>
      </c>
      <c r="E87" s="1131">
        <f t="shared" si="218"/>
        <v>0</v>
      </c>
      <c r="F87" s="1131">
        <f t="shared" si="218"/>
        <v>0</v>
      </c>
      <c r="G87" s="1131">
        <f t="shared" si="218"/>
        <v>0</v>
      </c>
      <c r="H87" s="419">
        <f t="shared" si="218"/>
        <v>0</v>
      </c>
      <c r="I87" s="419">
        <f t="shared" si="218"/>
        <v>0</v>
      </c>
      <c r="J87" s="419">
        <f t="shared" si="218"/>
        <v>0</v>
      </c>
      <c r="K87" s="419">
        <f t="shared" si="218"/>
        <v>0</v>
      </c>
      <c r="L87" s="1131">
        <f t="shared" si="218"/>
        <v>0</v>
      </c>
      <c r="M87" s="419">
        <f t="shared" si="218"/>
        <v>-3</v>
      </c>
      <c r="N87" s="419">
        <f t="shared" si="218"/>
        <v>-4</v>
      </c>
      <c r="O87" s="419">
        <f t="shared" si="218"/>
        <v>-3</v>
      </c>
      <c r="P87" s="419">
        <f t="shared" si="218"/>
        <v>-6</v>
      </c>
      <c r="Q87" s="1131">
        <f t="shared" si="218"/>
        <v>-16</v>
      </c>
      <c r="R87" s="419">
        <f t="shared" si="218"/>
        <v>-4</v>
      </c>
      <c r="S87" s="419">
        <f t="shared" si="218"/>
        <v>-5</v>
      </c>
      <c r="T87" s="419">
        <f t="shared" si="218"/>
        <v>-4</v>
      </c>
      <c r="U87" s="419">
        <f t="shared" si="218"/>
        <v>-6</v>
      </c>
      <c r="V87" s="1131">
        <f t="shared" si="218"/>
        <v>-19</v>
      </c>
      <c r="W87" s="419">
        <f t="shared" si="218"/>
        <v>-4</v>
      </c>
      <c r="X87" s="419">
        <f t="shared" si="218"/>
        <v>-8</v>
      </c>
      <c r="Y87" s="419">
        <f t="shared" si="218"/>
        <v>-4</v>
      </c>
      <c r="Z87" s="419">
        <f t="shared" si="218"/>
        <v>-9</v>
      </c>
      <c r="AA87" s="1131">
        <f t="shared" si="218"/>
        <v>-25</v>
      </c>
      <c r="AB87" s="419">
        <f t="shared" si="218"/>
        <v>-6</v>
      </c>
      <c r="AC87" s="419">
        <f t="shared" si="218"/>
        <v>-4</v>
      </c>
      <c r="AD87" s="419">
        <f t="shared" si="218"/>
        <v>-7</v>
      </c>
      <c r="AE87" s="419">
        <f t="shared" si="218"/>
        <v>-6</v>
      </c>
      <c r="AF87" s="1131">
        <f t="shared" si="218"/>
        <v>-23</v>
      </c>
      <c r="AG87" s="419">
        <f t="shared" si="218"/>
        <v>-5</v>
      </c>
      <c r="AH87" s="419">
        <f t="shared" si="218"/>
        <v>-8</v>
      </c>
      <c r="AI87" s="419">
        <f t="shared" si="218"/>
        <v>-6</v>
      </c>
      <c r="AJ87" s="419">
        <f t="shared" si="218"/>
        <v>-4</v>
      </c>
      <c r="AK87" s="1131">
        <f t="shared" si="218"/>
        <v>-23</v>
      </c>
      <c r="AL87" s="419">
        <f t="shared" si="219" ref="AL87:AM89">-AL77</f>
        <v>-5</v>
      </c>
      <c r="AM87" s="419">
        <f t="shared" si="219"/>
        <v>-5</v>
      </c>
      <c r="AN87" s="419">
        <f t="shared" si="220" ref="AN87:AP89">-AN77</f>
        <v>-6</v>
      </c>
      <c r="AO87" s="419">
        <f t="shared" si="220"/>
        <v>-5</v>
      </c>
      <c r="AP87" s="1131">
        <f t="shared" si="220"/>
        <v>-21</v>
      </c>
      <c r="AQ87" s="419">
        <f t="shared" si="221" ref="AQ87:AR89">-AQ77</f>
        <v>-8</v>
      </c>
      <c r="AR87" s="419">
        <f t="shared" si="221"/>
        <v>-6</v>
      </c>
      <c r="AS87" s="419">
        <f t="shared" si="222" ref="AS87:AU89">-AS77</f>
        <v>-10</v>
      </c>
      <c r="AT87" s="419">
        <f t="shared" si="222"/>
        <v>-9</v>
      </c>
      <c r="AU87" s="1131">
        <f t="shared" si="222"/>
        <v>-33</v>
      </c>
      <c r="AV87" s="419">
        <f t="shared" si="223" ref="AV87:AW89">-AV77</f>
        <v>-12</v>
      </c>
      <c r="AW87" s="419">
        <f t="shared" si="223"/>
        <v>-9</v>
      </c>
      <c r="AX87" s="419">
        <f t="shared" si="224" ref="AX87:AZ89">-AX77</f>
        <v>-9</v>
      </c>
      <c r="AY87" s="419">
        <f t="shared" si="224"/>
        <v>-8</v>
      </c>
      <c r="AZ87" s="1131">
        <f t="shared" si="224"/>
        <v>-38</v>
      </c>
      <c r="BA87" s="419">
        <f t="shared" si="225" ref="BA87:BB89">-BA77</f>
        <v>-10</v>
      </c>
      <c r="BB87" s="419">
        <f t="shared" si="225"/>
        <v>-7</v>
      </c>
      <c r="BC87" s="419">
        <f t="shared" si="226" ref="BC87:BI89">-BC77</f>
        <v>-23</v>
      </c>
      <c r="BD87" s="419">
        <f t="shared" si="226"/>
        <v>-12</v>
      </c>
      <c r="BE87" s="1131">
        <f t="shared" si="226"/>
        <v>-52</v>
      </c>
      <c r="BF87" s="419">
        <f t="shared" si="227" ref="BF87:BG89">-BF77</f>
        <v>-17</v>
      </c>
      <c r="BG87" s="419">
        <f t="shared" si="227"/>
        <v>-8</v>
      </c>
      <c r="BH87" s="464">
        <f>-BH77</f>
        <v>-8</v>
      </c>
      <c r="BI87" s="171">
        <f t="shared" si="226"/>
        <v>-5</v>
      </c>
      <c r="BJ87" s="1133">
        <f t="shared" si="228" ref="BJ87:BJ89">-BJ77</f>
        <v>-38</v>
      </c>
      <c r="BK87" s="171">
        <f t="shared" si="229" ref="BK87:BR89">-BK77</f>
        <v>-5</v>
      </c>
      <c r="BL87" s="171">
        <f t="shared" si="229"/>
        <v>-5</v>
      </c>
      <c r="BM87" s="171">
        <f t="shared" si="229"/>
        <v>-5</v>
      </c>
      <c r="BN87" s="171">
        <f t="shared" si="229"/>
        <v>-5</v>
      </c>
      <c r="BO87" s="1133">
        <f t="shared" si="229"/>
        <v>-20</v>
      </c>
      <c r="BP87" s="1131">
        <f t="shared" si="229"/>
        <v>-20</v>
      </c>
      <c r="BQ87" s="1131">
        <f t="shared" si="229"/>
        <v>-20</v>
      </c>
      <c r="BR87" s="1133">
        <f t="shared" si="229"/>
        <v>-20</v>
      </c>
      <c r="BS87" s="32"/>
    </row>
    <row r="88" spans="1:71" s="673" customFormat="1" ht="15">
      <c r="A88" s="114" t="s">
        <v>76</v>
      </c>
      <c r="B88" s="480"/>
      <c r="C88" s="1140">
        <f t="shared" si="230" ref="C88:AK88">-C78</f>
        <v>0</v>
      </c>
      <c r="D88" s="1140">
        <f t="shared" si="230"/>
        <v>0</v>
      </c>
      <c r="E88" s="1140">
        <f t="shared" si="230"/>
        <v>-1</v>
      </c>
      <c r="F88" s="1140">
        <f t="shared" si="230"/>
        <v>-13</v>
      </c>
      <c r="G88" s="1140">
        <f t="shared" si="230"/>
        <v>-7</v>
      </c>
      <c r="H88" s="288">
        <f t="shared" si="230"/>
        <v>-1</v>
      </c>
      <c r="I88" s="288">
        <f t="shared" si="230"/>
        <v>0</v>
      </c>
      <c r="J88" s="288">
        <f t="shared" si="230"/>
        <v>0</v>
      </c>
      <c r="K88" s="288">
        <f t="shared" si="230"/>
        <v>0</v>
      </c>
      <c r="L88" s="1140">
        <f t="shared" si="230"/>
        <v>-1</v>
      </c>
      <c r="M88" s="288">
        <f t="shared" si="230"/>
        <v>0</v>
      </c>
      <c r="N88" s="288">
        <f t="shared" si="230"/>
        <v>-1</v>
      </c>
      <c r="O88" s="288">
        <f t="shared" si="230"/>
        <v>-2</v>
      </c>
      <c r="P88" s="288">
        <f t="shared" si="230"/>
        <v>0</v>
      </c>
      <c r="Q88" s="1140">
        <f t="shared" si="230"/>
        <v>-3</v>
      </c>
      <c r="R88" s="288">
        <f t="shared" si="230"/>
        <v>1</v>
      </c>
      <c r="S88" s="288">
        <f t="shared" si="230"/>
        <v>-1</v>
      </c>
      <c r="T88" s="288">
        <f t="shared" si="230"/>
        <v>0</v>
      </c>
      <c r="U88" s="288">
        <f t="shared" si="230"/>
        <v>0</v>
      </c>
      <c r="V88" s="1140">
        <f t="shared" si="230"/>
        <v>0</v>
      </c>
      <c r="W88" s="288">
        <f t="shared" si="230"/>
        <v>-1</v>
      </c>
      <c r="X88" s="288">
        <f t="shared" si="230"/>
        <v>-1</v>
      </c>
      <c r="Y88" s="288">
        <f t="shared" si="230"/>
        <v>-1</v>
      </c>
      <c r="Z88" s="288">
        <f t="shared" si="230"/>
        <v>-1</v>
      </c>
      <c r="AA88" s="1140">
        <f t="shared" si="230"/>
        <v>-4</v>
      </c>
      <c r="AB88" s="288">
        <f t="shared" si="230"/>
        <v>-1</v>
      </c>
      <c r="AC88" s="288">
        <f t="shared" si="230"/>
        <v>-1</v>
      </c>
      <c r="AD88" s="288">
        <f t="shared" si="230"/>
        <v>1</v>
      </c>
      <c r="AE88" s="288">
        <f t="shared" si="230"/>
        <v>-1</v>
      </c>
      <c r="AF88" s="1140">
        <f t="shared" si="230"/>
        <v>-2</v>
      </c>
      <c r="AG88" s="288">
        <f t="shared" si="230"/>
        <v>-1</v>
      </c>
      <c r="AH88" s="288">
        <f t="shared" si="230"/>
        <v>-1</v>
      </c>
      <c r="AI88" s="288">
        <f t="shared" si="230"/>
        <v>-16</v>
      </c>
      <c r="AJ88" s="288">
        <f t="shared" si="230"/>
        <v>-1</v>
      </c>
      <c r="AK88" s="1140">
        <f t="shared" si="230"/>
        <v>-19</v>
      </c>
      <c r="AL88" s="288">
        <f t="shared" si="219"/>
        <v>-41</v>
      </c>
      <c r="AM88" s="288">
        <f t="shared" si="219"/>
        <v>-68</v>
      </c>
      <c r="AN88" s="288">
        <f t="shared" si="220"/>
        <v>-60</v>
      </c>
      <c r="AO88" s="288">
        <f t="shared" si="220"/>
        <v>-52</v>
      </c>
      <c r="AP88" s="1140">
        <f t="shared" si="220"/>
        <v>-221</v>
      </c>
      <c r="AQ88" s="288">
        <f t="shared" si="221"/>
        <v>0</v>
      </c>
      <c r="AR88" s="288">
        <f t="shared" si="221"/>
        <v>0</v>
      </c>
      <c r="AS88" s="288">
        <f t="shared" si="222"/>
        <v>0</v>
      </c>
      <c r="AT88" s="288">
        <f t="shared" si="222"/>
        <v>0</v>
      </c>
      <c r="AU88" s="1140">
        <f t="shared" si="222"/>
        <v>0</v>
      </c>
      <c r="AV88" s="288">
        <f t="shared" si="223"/>
        <v>0</v>
      </c>
      <c r="AW88" s="288">
        <f t="shared" si="223"/>
        <v>0</v>
      </c>
      <c r="AX88" s="288">
        <f t="shared" si="224"/>
        <v>0</v>
      </c>
      <c r="AY88" s="288">
        <f t="shared" si="224"/>
        <v>0</v>
      </c>
      <c r="AZ88" s="1140">
        <f t="shared" si="224"/>
        <v>0</v>
      </c>
      <c r="BA88" s="288">
        <f t="shared" si="225"/>
        <v>0</v>
      </c>
      <c r="BB88" s="288">
        <f t="shared" si="225"/>
        <v>0</v>
      </c>
      <c r="BC88" s="288">
        <f t="shared" si="226"/>
        <v>0</v>
      </c>
      <c r="BD88" s="288">
        <f t="shared" si="226"/>
        <v>0</v>
      </c>
      <c r="BE88" s="1140">
        <f t="shared" si="226"/>
        <v>0</v>
      </c>
      <c r="BF88" s="288">
        <f t="shared" si="227"/>
        <v>0</v>
      </c>
      <c r="BG88" s="288">
        <f t="shared" si="227"/>
        <v>0</v>
      </c>
      <c r="BH88" s="875">
        <f>-BH78</f>
        <v>0</v>
      </c>
      <c r="BI88" s="171">
        <f t="shared" si="226"/>
        <v>0</v>
      </c>
      <c r="BJ88" s="1133">
        <f t="shared" si="228"/>
        <v>0</v>
      </c>
      <c r="BK88" s="171">
        <f t="shared" si="229"/>
        <v>0</v>
      </c>
      <c r="BL88" s="171">
        <f t="shared" si="229"/>
        <v>0</v>
      </c>
      <c r="BM88" s="171">
        <f t="shared" si="229"/>
        <v>0</v>
      </c>
      <c r="BN88" s="171">
        <f t="shared" si="229"/>
        <v>0</v>
      </c>
      <c r="BO88" s="1133">
        <f t="shared" si="229"/>
        <v>0</v>
      </c>
      <c r="BP88" s="1131">
        <f t="shared" si="229"/>
        <v>0</v>
      </c>
      <c r="BQ88" s="1131">
        <f t="shared" si="229"/>
        <v>0</v>
      </c>
      <c r="BR88" s="1133">
        <f t="shared" si="229"/>
        <v>0</v>
      </c>
      <c r="BS88" s="32"/>
    </row>
    <row r="89" spans="1:71" s="673" customFormat="1" ht="15">
      <c r="A89" s="115" t="s">
        <v>77</v>
      </c>
      <c r="B89" s="481"/>
      <c r="C89" s="1141">
        <f t="shared" si="231" ref="C89:AK89">-C79</f>
        <v>0</v>
      </c>
      <c r="D89" s="1141">
        <f t="shared" si="231"/>
        <v>0</v>
      </c>
      <c r="E89" s="1141">
        <f t="shared" si="231"/>
        <v>-50</v>
      </c>
      <c r="F89" s="1141">
        <f t="shared" si="231"/>
        <v>-31</v>
      </c>
      <c r="G89" s="1141">
        <f t="shared" si="231"/>
        <v>-54</v>
      </c>
      <c r="H89" s="39">
        <f t="shared" si="231"/>
        <v>0</v>
      </c>
      <c r="I89" s="39">
        <f t="shared" si="231"/>
        <v>0</v>
      </c>
      <c r="J89" s="39">
        <f t="shared" si="231"/>
        <v>-24</v>
      </c>
      <c r="K89" s="39">
        <f t="shared" si="231"/>
        <v>0</v>
      </c>
      <c r="L89" s="1141">
        <f t="shared" si="231"/>
        <v>-24</v>
      </c>
      <c r="M89" s="39">
        <f t="shared" si="231"/>
        <v>0</v>
      </c>
      <c r="N89" s="39">
        <f t="shared" si="231"/>
        <v>0</v>
      </c>
      <c r="O89" s="39">
        <f t="shared" si="231"/>
        <v>-67</v>
      </c>
      <c r="P89" s="39">
        <f t="shared" si="231"/>
        <v>0</v>
      </c>
      <c r="Q89" s="1141">
        <f t="shared" si="231"/>
        <v>-67</v>
      </c>
      <c r="R89" s="39">
        <f t="shared" si="231"/>
        <v>0</v>
      </c>
      <c r="S89" s="39">
        <f t="shared" si="231"/>
        <v>-65</v>
      </c>
      <c r="T89" s="39">
        <f t="shared" si="231"/>
        <v>-36</v>
      </c>
      <c r="U89" s="39">
        <f t="shared" si="231"/>
        <v>0</v>
      </c>
      <c r="V89" s="1141">
        <f t="shared" si="231"/>
        <v>-101</v>
      </c>
      <c r="W89" s="39">
        <f t="shared" si="231"/>
        <v>0</v>
      </c>
      <c r="X89" s="39">
        <f t="shared" si="231"/>
        <v>0</v>
      </c>
      <c r="Y89" s="39">
        <f t="shared" si="231"/>
        <v>-89</v>
      </c>
      <c r="Z89" s="39">
        <f t="shared" si="231"/>
        <v>18</v>
      </c>
      <c r="AA89" s="1141">
        <f t="shared" si="231"/>
        <v>-71</v>
      </c>
      <c r="AB89" s="39">
        <f t="shared" si="231"/>
        <v>0</v>
      </c>
      <c r="AC89" s="39">
        <f t="shared" si="231"/>
        <v>0</v>
      </c>
      <c r="AD89" s="39">
        <f t="shared" si="231"/>
        <v>-18</v>
      </c>
      <c r="AE89" s="39">
        <f t="shared" si="231"/>
        <v>0</v>
      </c>
      <c r="AF89" s="1141">
        <f t="shared" si="231"/>
        <v>-18</v>
      </c>
      <c r="AG89" s="39">
        <f t="shared" si="231"/>
        <v>0</v>
      </c>
      <c r="AH89" s="39">
        <f t="shared" si="231"/>
        <v>0</v>
      </c>
      <c r="AI89" s="39">
        <f t="shared" si="231"/>
        <v>-18</v>
      </c>
      <c r="AJ89" s="39">
        <f t="shared" si="231"/>
        <v>-76</v>
      </c>
      <c r="AK89" s="1141">
        <f t="shared" si="231"/>
        <v>-94</v>
      </c>
      <c r="AL89" s="39">
        <f t="shared" si="219"/>
        <v>-32</v>
      </c>
      <c r="AM89" s="39">
        <f t="shared" si="219"/>
        <v>-38</v>
      </c>
      <c r="AN89" s="39">
        <f t="shared" si="220"/>
        <v>-67</v>
      </c>
      <c r="AO89" s="39">
        <f t="shared" si="220"/>
        <v>-27</v>
      </c>
      <c r="AP89" s="1141">
        <f t="shared" si="220"/>
        <v>-164</v>
      </c>
      <c r="AQ89" s="39">
        <f t="shared" si="221"/>
        <v>0</v>
      </c>
      <c r="AR89" s="39">
        <f t="shared" si="221"/>
        <v>0</v>
      </c>
      <c r="AS89" s="39">
        <f t="shared" si="222"/>
        <v>0</v>
      </c>
      <c r="AT89" s="39">
        <f t="shared" si="222"/>
        <v>0</v>
      </c>
      <c r="AU89" s="1141">
        <f t="shared" si="222"/>
        <v>0</v>
      </c>
      <c r="AV89" s="39">
        <f t="shared" si="223"/>
        <v>0</v>
      </c>
      <c r="AW89" s="39">
        <f t="shared" si="223"/>
        <v>0</v>
      </c>
      <c r="AX89" s="39">
        <f t="shared" si="224"/>
        <v>0</v>
      </c>
      <c r="AY89" s="39">
        <f t="shared" si="224"/>
        <v>0</v>
      </c>
      <c r="AZ89" s="1141">
        <f t="shared" si="224"/>
        <v>0</v>
      </c>
      <c r="BA89" s="39">
        <f t="shared" si="225"/>
        <v>0</v>
      </c>
      <c r="BB89" s="39">
        <f t="shared" si="225"/>
        <v>0</v>
      </c>
      <c r="BC89" s="39">
        <f t="shared" si="226"/>
        <v>0</v>
      </c>
      <c r="BD89" s="39">
        <f t="shared" si="226"/>
        <v>0</v>
      </c>
      <c r="BE89" s="1141">
        <f t="shared" si="226"/>
        <v>0</v>
      </c>
      <c r="BF89" s="39">
        <f t="shared" si="227"/>
        <v>0</v>
      </c>
      <c r="BG89" s="39">
        <f t="shared" si="227"/>
        <v>0</v>
      </c>
      <c r="BH89" s="876">
        <f>-BH79</f>
        <v>0</v>
      </c>
      <c r="BI89" s="363">
        <f t="shared" si="226"/>
        <v>0</v>
      </c>
      <c r="BJ89" s="1134">
        <f t="shared" si="228"/>
        <v>0</v>
      </c>
      <c r="BK89" s="363">
        <f t="shared" si="229"/>
        <v>0</v>
      </c>
      <c r="BL89" s="363">
        <f t="shared" si="229"/>
        <v>0</v>
      </c>
      <c r="BM89" s="363">
        <f t="shared" si="229"/>
        <v>0</v>
      </c>
      <c r="BN89" s="363">
        <f t="shared" si="229"/>
        <v>0</v>
      </c>
      <c r="BO89" s="1134">
        <f t="shared" si="229"/>
        <v>0</v>
      </c>
      <c r="BP89" s="1134">
        <f t="shared" si="229"/>
        <v>0</v>
      </c>
      <c r="BQ89" s="1134">
        <f t="shared" si="229"/>
        <v>0</v>
      </c>
      <c r="BR89" s="1134">
        <f t="shared" si="229"/>
        <v>0</v>
      </c>
      <c r="BS89" s="32"/>
    </row>
    <row r="90" spans="1:71" s="674" customFormat="1" ht="15">
      <c r="A90" s="100" t="s">
        <v>78</v>
      </c>
      <c r="B90" s="483"/>
      <c r="C90" s="1142">
        <f t="shared" si="232" ref="C90:AK90">SUM(C86:C89)</f>
        <v>417</v>
      </c>
      <c r="D90" s="1138">
        <f t="shared" si="232"/>
        <v>296</v>
      </c>
      <c r="E90" s="1138">
        <f t="shared" si="232"/>
        <v>180</v>
      </c>
      <c r="F90" s="1138">
        <f t="shared" si="232"/>
        <v>87</v>
      </c>
      <c r="G90" s="1138">
        <f t="shared" si="232"/>
        <v>145</v>
      </c>
      <c r="H90" s="96">
        <f t="shared" si="232"/>
        <v>58</v>
      </c>
      <c r="I90" s="96">
        <f t="shared" si="232"/>
        <v>29</v>
      </c>
      <c r="J90" s="96">
        <f t="shared" si="232"/>
        <v>46</v>
      </c>
      <c r="K90" s="96">
        <f t="shared" si="232"/>
        <v>79</v>
      </c>
      <c r="L90" s="1138">
        <f t="shared" si="232"/>
        <v>212</v>
      </c>
      <c r="M90" s="96">
        <f t="shared" si="232"/>
        <v>57</v>
      </c>
      <c r="N90" s="96">
        <f t="shared" si="232"/>
        <v>46</v>
      </c>
      <c r="O90" s="96">
        <f t="shared" si="232"/>
        <v>12</v>
      </c>
      <c r="P90" s="96">
        <f t="shared" si="232"/>
        <v>94</v>
      </c>
      <c r="Q90" s="1138">
        <f t="shared" si="232"/>
        <v>209</v>
      </c>
      <c r="R90" s="96">
        <f t="shared" si="232"/>
        <v>83</v>
      </c>
      <c r="S90" s="96">
        <f t="shared" si="232"/>
        <v>-8</v>
      </c>
      <c r="T90" s="96">
        <f t="shared" si="232"/>
        <v>38</v>
      </c>
      <c r="U90" s="96">
        <f t="shared" si="232"/>
        <v>104</v>
      </c>
      <c r="V90" s="1138">
        <f t="shared" si="232"/>
        <v>217</v>
      </c>
      <c r="W90" s="96">
        <f t="shared" si="232"/>
        <v>74</v>
      </c>
      <c r="X90" s="96">
        <f t="shared" si="232"/>
        <v>64</v>
      </c>
      <c r="Y90" s="96">
        <f t="shared" si="232"/>
        <v>-85</v>
      </c>
      <c r="Z90" s="96">
        <f t="shared" si="232"/>
        <v>164</v>
      </c>
      <c r="AA90" s="1138">
        <f t="shared" si="232"/>
        <v>217</v>
      </c>
      <c r="AB90" s="96">
        <f t="shared" si="232"/>
        <v>85</v>
      </c>
      <c r="AC90" s="96">
        <f t="shared" si="232"/>
        <v>68</v>
      </c>
      <c r="AD90" s="96">
        <f t="shared" si="232"/>
        <v>31</v>
      </c>
      <c r="AE90" s="96">
        <f t="shared" si="232"/>
        <v>95</v>
      </c>
      <c r="AF90" s="1138">
        <f t="shared" si="232"/>
        <v>279</v>
      </c>
      <c r="AG90" s="96">
        <f t="shared" si="232"/>
        <v>82</v>
      </c>
      <c r="AH90" s="96">
        <f t="shared" si="232"/>
        <v>51</v>
      </c>
      <c r="AI90" s="96">
        <f t="shared" si="232"/>
        <v>48</v>
      </c>
      <c r="AJ90" s="96">
        <f t="shared" si="232"/>
        <v>8</v>
      </c>
      <c r="AK90" s="1138">
        <f t="shared" si="232"/>
        <v>189</v>
      </c>
      <c r="AL90" s="96">
        <f t="shared" si="233" ref="AL90:AQ90">SUM(AL86:AL89)</f>
        <v>82</v>
      </c>
      <c r="AM90" s="96">
        <f t="shared" si="233"/>
        <v>4</v>
      </c>
      <c r="AN90" s="96">
        <f t="shared" si="233"/>
        <v>12</v>
      </c>
      <c r="AO90" s="96">
        <f t="shared" si="233"/>
        <v>105</v>
      </c>
      <c r="AP90" s="1138">
        <f t="shared" si="233"/>
        <v>203</v>
      </c>
      <c r="AQ90" s="96">
        <f t="shared" si="233"/>
        <v>126</v>
      </c>
      <c r="AR90" s="96">
        <f t="shared" si="234" ref="AR90:AW90">SUM(AR86:AR89)</f>
        <v>147</v>
      </c>
      <c r="AS90" s="96">
        <f t="shared" si="234"/>
        <v>159</v>
      </c>
      <c r="AT90" s="96">
        <f t="shared" si="234"/>
        <v>272</v>
      </c>
      <c r="AU90" s="1138">
        <f t="shared" si="234"/>
        <v>704</v>
      </c>
      <c r="AV90" s="96">
        <f t="shared" si="234"/>
        <v>196</v>
      </c>
      <c r="AW90" s="96">
        <f t="shared" si="234"/>
        <v>188</v>
      </c>
      <c r="AX90" s="96">
        <f t="shared" si="235" ref="AX90:BJ90">SUM(AX86:AX89)</f>
        <v>149</v>
      </c>
      <c r="AY90" s="96">
        <f t="shared" si="235"/>
        <v>209</v>
      </c>
      <c r="AZ90" s="1138">
        <f t="shared" si="235"/>
        <v>742</v>
      </c>
      <c r="BA90" s="96">
        <f t="shared" si="235"/>
        <v>145</v>
      </c>
      <c r="BB90" s="96">
        <f t="shared" si="236" ref="BB90:BI90">SUM(BB86:BB89)</f>
        <v>116</v>
      </c>
      <c r="BC90" s="96">
        <f t="shared" si="236"/>
        <v>120</v>
      </c>
      <c r="BD90" s="96">
        <f t="shared" si="236"/>
        <v>200</v>
      </c>
      <c r="BE90" s="1138">
        <f t="shared" si="236"/>
        <v>581</v>
      </c>
      <c r="BF90" s="96">
        <f>SUM(BF86:BF89)</f>
        <v>137</v>
      </c>
      <c r="BG90" s="96">
        <f>SUM(BG86:BG89)</f>
        <v>143</v>
      </c>
      <c r="BH90" s="874">
        <f>SUM(BH86:BH89)</f>
        <v>109</v>
      </c>
      <c r="BI90" s="596">
        <f t="shared" si="236"/>
        <v>144.83227800000003</v>
      </c>
      <c r="BJ90" s="1139">
        <f t="shared" si="235"/>
        <v>533.83227800000009</v>
      </c>
      <c r="BK90" s="596">
        <f t="shared" si="237" ref="BK90:BR90">SUM(BK86:BK89)</f>
        <v>239.06933644999992</v>
      </c>
      <c r="BL90" s="596">
        <f t="shared" si="237"/>
        <v>192.04761799999994</v>
      </c>
      <c r="BM90" s="596">
        <f t="shared" si="237"/>
        <v>214.48572970000004</v>
      </c>
      <c r="BN90" s="596">
        <f t="shared" si="237"/>
        <v>262.00634329999997</v>
      </c>
      <c r="BO90" s="1139">
        <f t="shared" si="237"/>
        <v>907.6090274500001</v>
      </c>
      <c r="BP90" s="1139">
        <f t="shared" si="237"/>
        <v>896.3809859801504</v>
      </c>
      <c r="BQ90" s="1139">
        <f t="shared" si="237"/>
        <v>1181.2465181863777</v>
      </c>
      <c r="BR90" s="1139">
        <f t="shared" si="237"/>
        <v>1246.0261728394516</v>
      </c>
      <c r="BS90" s="37"/>
    </row>
    <row r="91" spans="1:71" s="675" customFormat="1" ht="15">
      <c r="A91" s="105" t="str">
        <f>CONCATENATE("Consensus Estimates - ",IFERROR(LEFT(A90,FIND("(",A90)-1),A90))</f>
        <v>Consensus Estimates - Total Underwriting Income, mm</v>
      </c>
      <c r="B91" s="165"/>
      <c r="C91" s="1154"/>
      <c r="D91" s="1154"/>
      <c r="E91" s="1154"/>
      <c r="F91" s="1154"/>
      <c r="G91" s="1154"/>
      <c r="H91" s="311"/>
      <c r="I91" s="311"/>
      <c r="J91" s="311"/>
      <c r="K91" s="311"/>
      <c r="L91" s="1154"/>
      <c r="M91" s="311"/>
      <c r="N91" s="311"/>
      <c r="O91" s="311"/>
      <c r="P91" s="311"/>
      <c r="Q91" s="1154"/>
      <c r="R91" s="311"/>
      <c r="S91" s="311"/>
      <c r="T91" s="311"/>
      <c r="U91" s="311"/>
      <c r="V91" s="1154"/>
      <c r="W91" s="311"/>
      <c r="X91" s="311"/>
      <c r="Y91" s="311"/>
      <c r="Z91" s="311"/>
      <c r="AA91" s="1154"/>
      <c r="AB91" s="311"/>
      <c r="AC91" s="311"/>
      <c r="AD91" s="311"/>
      <c r="AE91" s="311"/>
      <c r="AF91" s="1154"/>
      <c r="AG91" s="311"/>
      <c r="AH91" s="311"/>
      <c r="AI91" s="311"/>
      <c r="AJ91" s="311"/>
      <c r="AK91" s="1154"/>
      <c r="AL91" s="311"/>
      <c r="AM91" s="311"/>
      <c r="AN91" s="311"/>
      <c r="AO91" s="311"/>
      <c r="AP91" s="1154"/>
      <c r="AQ91" s="311"/>
      <c r="AR91" s="311"/>
      <c r="AS91" s="311"/>
      <c r="AT91" s="311"/>
      <c r="AU91" s="1154"/>
      <c r="AV91" s="311"/>
      <c r="AW91" s="311"/>
      <c r="AX91" s="311"/>
      <c r="AY91" s="311"/>
      <c r="AZ91" s="1154"/>
      <c r="BA91" s="311"/>
      <c r="BB91" s="311"/>
      <c r="BC91" s="311"/>
      <c r="BD91" s="311"/>
      <c r="BE91" s="1154"/>
      <c r="BF91" s="311"/>
      <c r="BG91" s="311"/>
      <c r="BH91" s="879"/>
      <c r="BI91" s="923" t="str">
        <f ca="1" t="shared" si="238" ref="BI91:BO91">IFERROR(VLOOKUP($A91,tb_ConsensusEstimate,MATCH(BI$5,OFFSET(tb_ConsensusEstimate,0,0,1,COLUMNS(tb_ConsensusEstimate)),0),FALSE),"-")</f>
        <v>N/A</v>
      </c>
      <c r="BJ91" s="1155" t="str">
        <f t="shared" ca="1" si="238"/>
        <v>N/A</v>
      </c>
      <c r="BK91" s="923" t="str">
        <f t="shared" ca="1" si="238"/>
        <v>N/A</v>
      </c>
      <c r="BL91" s="923" t="str">
        <f t="shared" ca="1" si="238"/>
        <v>N/A</v>
      </c>
      <c r="BM91" s="923" t="str">
        <f t="shared" ca="1" si="238"/>
        <v>N/A</v>
      </c>
      <c r="BN91" s="923" t="str">
        <f t="shared" ca="1" si="238"/>
        <v>N/A</v>
      </c>
      <c r="BO91" s="1155" t="str">
        <f t="shared" ca="1" si="238"/>
        <v>N/A</v>
      </c>
      <c r="BP91" s="1156" t="str">
        <f ca="1">IFERROR(VLOOKUP($A91,tb_ConsensusEstimate,MATCH(BP5,OFFSET(tb_ConsensusEstimate,0,0,1,COLUMNS(tb_ConsensusEstimate)),0),FALSE),"-")</f>
        <v>N/A</v>
      </c>
      <c r="BQ91" s="1156" t="str">
        <f ca="1">IFERROR(VLOOKUP($A91,tb_ConsensusEstimate,MATCH(BQ5,OFFSET(tb_ConsensusEstimate,0,0,1,COLUMNS(tb_ConsensusEstimate)),0),FALSE),"-")</f>
        <v>N/A</v>
      </c>
      <c r="BR91" s="1155" t="str">
        <f ca="1">IFERROR(VLOOKUP($A91,tb_ConsensusEstimate,MATCH(BR5,OFFSET(tb_ConsensusEstimate,0,0,1,COLUMNS(tb_ConsensusEstimate)),0),FALSE),"-")</f>
        <v>N/A</v>
      </c>
      <c r="BS91" s="108"/>
    </row>
    <row r="92" spans="1:71" s="667" customFormat="1" ht="15">
      <c r="A92" s="491"/>
      <c r="B92" s="492"/>
      <c r="C92" s="1161"/>
      <c r="D92" s="1161"/>
      <c r="E92" s="1161"/>
      <c r="F92" s="1161"/>
      <c r="G92" s="1161"/>
      <c r="H92" s="971"/>
      <c r="I92" s="971"/>
      <c r="J92" s="971"/>
      <c r="K92" s="971"/>
      <c r="L92" s="1161"/>
      <c r="M92" s="971"/>
      <c r="N92" s="971"/>
      <c r="O92" s="971"/>
      <c r="P92" s="971"/>
      <c r="Q92" s="1161"/>
      <c r="R92" s="971"/>
      <c r="S92" s="971"/>
      <c r="T92" s="971"/>
      <c r="U92" s="971"/>
      <c r="V92" s="1161"/>
      <c r="W92" s="971"/>
      <c r="X92" s="971"/>
      <c r="Y92" s="971"/>
      <c r="Z92" s="971"/>
      <c r="AA92" s="1161"/>
      <c r="AB92" s="971"/>
      <c r="AC92" s="971"/>
      <c r="AD92" s="971"/>
      <c r="AE92" s="971"/>
      <c r="AF92" s="1161"/>
      <c r="AG92" s="971"/>
      <c r="AH92" s="971"/>
      <c r="AI92" s="971"/>
      <c r="AJ92" s="971"/>
      <c r="AK92" s="1161"/>
      <c r="AL92" s="971"/>
      <c r="AM92" s="971"/>
      <c r="AN92" s="971"/>
      <c r="AO92" s="971"/>
      <c r="AP92" s="1161"/>
      <c r="AQ92" s="971"/>
      <c r="AR92" s="971"/>
      <c r="AS92" s="971"/>
      <c r="AT92" s="971"/>
      <c r="AU92" s="1161"/>
      <c r="AV92" s="971"/>
      <c r="AW92" s="971"/>
      <c r="AX92" s="971"/>
      <c r="AY92" s="971"/>
      <c r="AZ92" s="1161"/>
      <c r="BA92" s="971"/>
      <c r="BB92" s="971"/>
      <c r="BC92" s="971"/>
      <c r="BD92" s="971"/>
      <c r="BE92" s="1161"/>
      <c r="BF92" s="971"/>
      <c r="BG92" s="971"/>
      <c r="BH92" s="972"/>
      <c r="BI92" s="973"/>
      <c r="BJ92" s="1162"/>
      <c r="BK92" s="973"/>
      <c r="BL92" s="973"/>
      <c r="BM92" s="973"/>
      <c r="BN92" s="973"/>
      <c r="BO92" s="1162"/>
      <c r="BP92" s="1161"/>
      <c r="BQ92" s="1161"/>
      <c r="BR92" s="1162"/>
      <c r="BS92" s="664"/>
    </row>
    <row r="93" spans="1:71" s="672" customFormat="1" ht="15">
      <c r="A93" s="951" t="s">
        <v>79</v>
      </c>
      <c r="B93" s="951"/>
      <c r="C93" s="967"/>
      <c r="D93" s="967"/>
      <c r="E93" s="967"/>
      <c r="F93" s="967"/>
      <c r="G93" s="967"/>
      <c r="H93" s="967"/>
      <c r="I93" s="967"/>
      <c r="J93" s="967"/>
      <c r="K93" s="967"/>
      <c r="L93" s="967"/>
      <c r="M93" s="967"/>
      <c r="N93" s="967"/>
      <c r="O93" s="967"/>
      <c r="P93" s="967"/>
      <c r="Q93" s="967"/>
      <c r="R93" s="967"/>
      <c r="S93" s="967"/>
      <c r="T93" s="967"/>
      <c r="U93" s="967"/>
      <c r="V93" s="967"/>
      <c r="W93" s="967"/>
      <c r="X93" s="967"/>
      <c r="Y93" s="967"/>
      <c r="Z93" s="967"/>
      <c r="AA93" s="967"/>
      <c r="AB93" s="967"/>
      <c r="AC93" s="967"/>
      <c r="AD93" s="967"/>
      <c r="AE93" s="967"/>
      <c r="AF93" s="967"/>
      <c r="AG93" s="967"/>
      <c r="AH93" s="967"/>
      <c r="AI93" s="967"/>
      <c r="AJ93" s="967"/>
      <c r="AK93" s="967"/>
      <c r="AL93" s="967"/>
      <c r="AM93" s="967"/>
      <c r="AN93" s="967"/>
      <c r="AO93" s="967"/>
      <c r="AP93" s="967"/>
      <c r="AQ93" s="967"/>
      <c r="AR93" s="967"/>
      <c r="AS93" s="967"/>
      <c r="AT93" s="967"/>
      <c r="AU93" s="967"/>
      <c r="AV93" s="967"/>
      <c r="AW93" s="967"/>
      <c r="AX93" s="967"/>
      <c r="AY93" s="967"/>
      <c r="AZ93" s="967"/>
      <c r="BA93" s="967"/>
      <c r="BB93" s="967"/>
      <c r="BC93" s="967"/>
      <c r="BD93" s="967"/>
      <c r="BE93" s="967"/>
      <c r="BF93" s="967"/>
      <c r="BG93" s="967"/>
      <c r="BH93" s="968"/>
      <c r="BI93" s="969"/>
      <c r="BJ93" s="969"/>
      <c r="BK93" s="969"/>
      <c r="BL93" s="969"/>
      <c r="BM93" s="969"/>
      <c r="BN93" s="969"/>
      <c r="BO93" s="969"/>
      <c r="BP93" s="967"/>
      <c r="BQ93" s="967"/>
      <c r="BR93" s="969"/>
      <c r="BS93" s="456"/>
    </row>
    <row r="94" spans="1:71" s="671" customFormat="1" ht="15">
      <c r="A94" s="26" t="s">
        <v>80</v>
      </c>
      <c r="B94" s="493"/>
      <c r="C94" s="1163"/>
      <c r="D94" s="1163"/>
      <c r="E94" s="1164">
        <f t="shared" si="239" ref="E94:AK94">E27/E15</f>
        <v>0.63176418829740433</v>
      </c>
      <c r="F94" s="1164">
        <f t="shared" si="239"/>
        <v>0.64861294583883755</v>
      </c>
      <c r="G94" s="1164">
        <f t="shared" si="239"/>
        <v>0.64673913043478259</v>
      </c>
      <c r="H94" s="312">
        <f t="shared" si="239"/>
        <v>0.75531914893617025</v>
      </c>
      <c r="I94" s="312">
        <f t="shared" si="239"/>
        <v>0.72188139059304701</v>
      </c>
      <c r="J94" s="312">
        <f t="shared" si="239"/>
        <v>0.55879396984924623</v>
      </c>
      <c r="K94" s="312">
        <f t="shared" si="239"/>
        <v>0.77385892116182575</v>
      </c>
      <c r="L94" s="1164">
        <f t="shared" si="239"/>
        <v>0.66865926558497013</v>
      </c>
      <c r="M94" s="312">
        <f t="shared" si="239"/>
        <v>0.76595744680851063</v>
      </c>
      <c r="N94" s="312">
        <f t="shared" si="239"/>
        <v>0.72399999999999998</v>
      </c>
      <c r="O94" s="312">
        <f t="shared" si="239"/>
        <v>0.5714285714285714</v>
      </c>
      <c r="P94" s="312">
        <f t="shared" si="239"/>
        <v>0.7339805825242719</v>
      </c>
      <c r="Q94" s="1164">
        <f t="shared" si="239"/>
        <v>0.66639511201629331</v>
      </c>
      <c r="R94" s="312">
        <f t="shared" si="239"/>
        <v>0.78140703517587939</v>
      </c>
      <c r="S94" s="312">
        <f t="shared" si="239"/>
        <v>0.71003717472118955</v>
      </c>
      <c r="T94" s="312">
        <f t="shared" si="239"/>
        <v>0.59031281533804236</v>
      </c>
      <c r="U94" s="312">
        <f t="shared" si="239"/>
        <v>0.68284228769497402</v>
      </c>
      <c r="V94" s="1164">
        <f t="shared" si="239"/>
        <v>0.66773162939297126</v>
      </c>
      <c r="W94" s="312">
        <f t="shared" si="239"/>
        <v>0.77884615384615385</v>
      </c>
      <c r="X94" s="312">
        <f t="shared" si="239"/>
        <v>0.68586387434554974</v>
      </c>
      <c r="Y94" s="312">
        <f t="shared" si="239"/>
        <v>0.58154706430568504</v>
      </c>
      <c r="Z94" s="312">
        <f t="shared" si="239"/>
        <v>0.67731629392971249</v>
      </c>
      <c r="AA94" s="1164">
        <f t="shared" si="239"/>
        <v>0.65662202380952384</v>
      </c>
      <c r="AB94" s="312">
        <f t="shared" si="239"/>
        <v>0.76056338028169013</v>
      </c>
      <c r="AC94" s="312">
        <f t="shared" si="239"/>
        <v>0.68617886178861787</v>
      </c>
      <c r="AD94" s="312">
        <f t="shared" si="239"/>
        <v>0.5876180482686254</v>
      </c>
      <c r="AE94" s="312">
        <f t="shared" si="239"/>
        <v>0.68817204301075274</v>
      </c>
      <c r="AF94" s="1164">
        <f t="shared" si="239"/>
        <v>0.66313799621928171</v>
      </c>
      <c r="AG94" s="312">
        <f t="shared" si="239"/>
        <v>0.78359908883826879</v>
      </c>
      <c r="AH94" s="312">
        <f t="shared" si="239"/>
        <v>0.72884283246977544</v>
      </c>
      <c r="AI94" s="312">
        <f t="shared" si="239"/>
        <v>0.59389038634321656</v>
      </c>
      <c r="AJ94" s="312">
        <f t="shared" si="239"/>
        <v>0.71496815286624205</v>
      </c>
      <c r="AK94" s="1164">
        <f t="shared" si="239"/>
        <v>0.67995650598042767</v>
      </c>
      <c r="AL94" s="312">
        <f t="shared" si="240" ref="AL94:AV94">AL27/AL15</f>
        <v>0.78137651821862353</v>
      </c>
      <c r="AM94" s="312">
        <f t="shared" si="240"/>
        <v>0.69721767594108019</v>
      </c>
      <c r="AN94" s="312">
        <f t="shared" si="240"/>
        <v>0.59849198868991516</v>
      </c>
      <c r="AO94" s="312">
        <f t="shared" si="240"/>
        <v>0.68006182380216385</v>
      </c>
      <c r="AP94" s="1164">
        <f t="shared" si="240"/>
        <v>0.67081407749733379</v>
      </c>
      <c r="AQ94" s="312">
        <f t="shared" si="240"/>
        <v>0.775</v>
      </c>
      <c r="AR94" s="312">
        <f t="shared" si="240"/>
        <v>0.66274970622796714</v>
      </c>
      <c r="AS94" s="312">
        <f t="shared" si="240"/>
        <v>0.57946026986506749</v>
      </c>
      <c r="AT94" s="312">
        <f t="shared" si="240"/>
        <v>0.74731182795698925</v>
      </c>
      <c r="AU94" s="1164">
        <f t="shared" si="240"/>
        <v>0.66104811523138218</v>
      </c>
      <c r="AV94" s="312">
        <f t="shared" si="240"/>
        <v>0.65921052631578947</v>
      </c>
      <c r="AW94" s="312">
        <f t="shared" si="241" ref="AW94:AX96">AW27/AW15</f>
        <v>0.656964656964657</v>
      </c>
      <c r="AX94" s="312">
        <f t="shared" si="241"/>
        <v>0.55210132412204949</v>
      </c>
      <c r="AY94" s="312">
        <f t="shared" si="242" ref="AY94:AZ96">AY27/AY15</f>
        <v>0.70382695507487525</v>
      </c>
      <c r="AZ94" s="1164">
        <f t="shared" si="242"/>
        <v>0.61945812807881773</v>
      </c>
      <c r="BA94" s="312">
        <f t="shared" si="243" ref="BA94:BB96">BA27/BA15</f>
        <v>0.6330275229357798</v>
      </c>
      <c r="BB94" s="312">
        <f t="shared" si="243"/>
        <v>0.63078375826251176</v>
      </c>
      <c r="BC94" s="312">
        <f t="shared" si="244" ref="BC94:BE96">BC27/BC15</f>
        <v>0.56846733668341709</v>
      </c>
      <c r="BD94" s="312">
        <f t="shared" si="244"/>
        <v>0.6837881219903692</v>
      </c>
      <c r="BE94" s="1164">
        <f t="shared" si="244"/>
        <v>0.61529184756391708</v>
      </c>
      <c r="BF94" s="312">
        <f t="shared" si="245" ref="BF94:BG96">BF27/BF15</f>
        <v>0.61626694473409804</v>
      </c>
      <c r="BG94" s="312">
        <f t="shared" si="245"/>
        <v>0.62822878228782286</v>
      </c>
      <c r="BH94" s="881">
        <f>BH27/BH15</f>
        <v>0.54105363075462742</v>
      </c>
      <c r="BI94" s="1053">
        <v>0.70</v>
      </c>
      <c r="BJ94" s="1165">
        <f>BJ27/BJ15</f>
        <v>0.60060283473457132</v>
      </c>
      <c r="BK94" s="1053">
        <v>0.77</v>
      </c>
      <c r="BL94" s="1053">
        <v>0.70</v>
      </c>
      <c r="BM94" s="1053">
        <v>0.42</v>
      </c>
      <c r="BN94" s="1053">
        <v>0.70</v>
      </c>
      <c r="BO94" s="1165">
        <f>BO27/BO15</f>
        <v>0.59377062110840662</v>
      </c>
      <c r="BP94" s="1166">
        <v>0.60</v>
      </c>
      <c r="BQ94" s="1166">
        <v>0.85</v>
      </c>
      <c r="BR94" s="1167">
        <v>0.85</v>
      </c>
      <c r="BS94" s="27"/>
    </row>
    <row r="95" spans="1:71" s="671" customFormat="1" ht="15">
      <c r="A95" s="26" t="s">
        <v>81</v>
      </c>
      <c r="B95" s="493"/>
      <c r="C95" s="1163"/>
      <c r="D95" s="1163"/>
      <c r="E95" s="1164">
        <f t="shared" si="246" ref="E95:AK95">E28/E16</f>
        <v>0.66589861751152069</v>
      </c>
      <c r="F95" s="1164">
        <f t="shared" si="246"/>
        <v>0.66846361185983827</v>
      </c>
      <c r="G95" s="1164">
        <f t="shared" si="246"/>
        <v>0.68379888268156419</v>
      </c>
      <c r="H95" s="312">
        <f t="shared" si="246"/>
        <v>0.65285996055226825</v>
      </c>
      <c r="I95" s="312">
        <f t="shared" si="246"/>
        <v>0.76183206106870227</v>
      </c>
      <c r="J95" s="312">
        <f t="shared" si="246"/>
        <v>0.75813295615275811</v>
      </c>
      <c r="K95" s="312">
        <f t="shared" si="246"/>
        <v>0.75454545454545452</v>
      </c>
      <c r="L95" s="1164">
        <f t="shared" si="246"/>
        <v>0.73705021747726374</v>
      </c>
      <c r="M95" s="312">
        <f t="shared" si="246"/>
        <v>0.73352855051244514</v>
      </c>
      <c r="N95" s="312">
        <f t="shared" si="246"/>
        <v>0.76096822995461422</v>
      </c>
      <c r="O95" s="312">
        <f t="shared" si="246"/>
        <v>0.74250681198910085</v>
      </c>
      <c r="P95" s="312">
        <f t="shared" si="246"/>
        <v>0.76096822995461422</v>
      </c>
      <c r="Q95" s="1164">
        <f t="shared" si="246"/>
        <v>0.74917853231106246</v>
      </c>
      <c r="R95" s="312">
        <f t="shared" si="246"/>
        <v>0.7435530085959885</v>
      </c>
      <c r="S95" s="312">
        <f t="shared" si="246"/>
        <v>0.73110465116279066</v>
      </c>
      <c r="T95" s="312">
        <f t="shared" si="246"/>
        <v>0.69806094182825484</v>
      </c>
      <c r="U95" s="312">
        <f t="shared" si="246"/>
        <v>0.74561403508771928</v>
      </c>
      <c r="V95" s="1164">
        <f t="shared" si="246"/>
        <v>0.72922636103151861</v>
      </c>
      <c r="W95" s="312">
        <f t="shared" si="246"/>
        <v>0.72580645161290325</v>
      </c>
      <c r="X95" s="312">
        <f t="shared" si="246"/>
        <v>0.74206349206349209</v>
      </c>
      <c r="Y95" s="312">
        <f t="shared" si="246"/>
        <v>0.73411764705882354</v>
      </c>
      <c r="Z95" s="312">
        <f t="shared" si="246"/>
        <v>0.75305291723202172</v>
      </c>
      <c r="AA95" s="1164">
        <f t="shared" si="246"/>
        <v>0.738581146744412</v>
      </c>
      <c r="AB95" s="312">
        <f t="shared" si="246"/>
        <v>0.69636576787807736</v>
      </c>
      <c r="AC95" s="312">
        <f t="shared" si="246"/>
        <v>0.74475524475524479</v>
      </c>
      <c r="AD95" s="312">
        <f t="shared" si="246"/>
        <v>0.72698744769874479</v>
      </c>
      <c r="AE95" s="312">
        <f t="shared" si="246"/>
        <v>0.7467866323907455</v>
      </c>
      <c r="AF95" s="1164">
        <f t="shared" si="246"/>
        <v>0.72830188679245278</v>
      </c>
      <c r="AG95" s="312">
        <f t="shared" si="246"/>
        <v>0.68640350877192979</v>
      </c>
      <c r="AH95" s="312">
        <f t="shared" si="246"/>
        <v>0.7388392857142857</v>
      </c>
      <c r="AI95" s="312">
        <f t="shared" si="246"/>
        <v>0.72162948593598453</v>
      </c>
      <c r="AJ95" s="312">
        <f t="shared" si="246"/>
        <v>0.7201291711517761</v>
      </c>
      <c r="AK95" s="1164">
        <f t="shared" si="246"/>
        <v>0.71682590233545651</v>
      </c>
      <c r="AL95" s="312">
        <f t="shared" si="247" ref="AL95:AV95">AL28/AL16</f>
        <v>0.69022379269729095</v>
      </c>
      <c r="AM95" s="312">
        <f t="shared" si="247"/>
        <v>0.67952127659574468</v>
      </c>
      <c r="AN95" s="312">
        <f t="shared" si="247"/>
        <v>0.65644171779141103</v>
      </c>
      <c r="AO95" s="312">
        <f t="shared" si="247"/>
        <v>0.65317919075144504</v>
      </c>
      <c r="AP95" s="1164">
        <f t="shared" si="247"/>
        <v>0.66898954703832758</v>
      </c>
      <c r="AQ95" s="312">
        <f t="shared" si="247"/>
        <v>0.65044247787610621</v>
      </c>
      <c r="AR95" s="312">
        <f t="shared" si="247"/>
        <v>0.65997770345596429</v>
      </c>
      <c r="AS95" s="312">
        <f t="shared" si="247"/>
        <v>0.65298840321141838</v>
      </c>
      <c r="AT95" s="312">
        <f t="shared" si="247"/>
        <v>0.64876033057851235</v>
      </c>
      <c r="AU95" s="1164">
        <f t="shared" si="247"/>
        <v>0.65295629820051415</v>
      </c>
      <c r="AV95" s="312">
        <f t="shared" si="247"/>
        <v>0.66598360655737709</v>
      </c>
      <c r="AW95" s="312">
        <f t="shared" si="241"/>
        <v>0.68143459915611815</v>
      </c>
      <c r="AX95" s="312">
        <f t="shared" si="241"/>
        <v>0.65625</v>
      </c>
      <c r="AY95" s="312">
        <f t="shared" si="242"/>
        <v>0.6504468718967229</v>
      </c>
      <c r="AZ95" s="1164">
        <f t="shared" si="242"/>
        <v>0.66294046172539489</v>
      </c>
      <c r="BA95" s="312">
        <f t="shared" si="243"/>
        <v>0.68049010367577756</v>
      </c>
      <c r="BB95" s="312">
        <f t="shared" si="243"/>
        <v>0.68478260869565222</v>
      </c>
      <c r="BC95" s="312">
        <f t="shared" si="244"/>
        <v>0.67618270799347469</v>
      </c>
      <c r="BD95" s="312">
        <f t="shared" si="244"/>
        <v>0.65481758652946676</v>
      </c>
      <c r="BE95" s="1164">
        <f t="shared" si="244"/>
        <v>0.67399267399267404</v>
      </c>
      <c r="BF95" s="312">
        <f t="shared" si="245"/>
        <v>0.68459434822242482</v>
      </c>
      <c r="BG95" s="312">
        <f t="shared" si="245"/>
        <v>0.68817204301075274</v>
      </c>
      <c r="BH95" s="881">
        <f>BH28/BH16</f>
        <v>0.66538164996144955</v>
      </c>
      <c r="BI95" s="1053">
        <v>0.60</v>
      </c>
      <c r="BJ95" s="1165">
        <f>BJ28/BJ16</f>
        <v>0.65790307829023753</v>
      </c>
      <c r="BK95" s="1053">
        <v>0.70</v>
      </c>
      <c r="BL95" s="1053">
        <v>0.60</v>
      </c>
      <c r="BM95" s="1053">
        <v>0.55000000000000004</v>
      </c>
      <c r="BN95" s="1053">
        <v>0.60</v>
      </c>
      <c r="BO95" s="1165">
        <f>BO28/BO16</f>
        <v>0.60881123581577912</v>
      </c>
      <c r="BP95" s="1166">
        <v>0.75</v>
      </c>
      <c r="BQ95" s="1166">
        <v>0.85</v>
      </c>
      <c r="BR95" s="1167">
        <v>0.85</v>
      </c>
      <c r="BS95" s="27"/>
    </row>
    <row r="96" spans="1:71" s="671" customFormat="1" ht="15">
      <c r="A96" s="45" t="s">
        <v>82</v>
      </c>
      <c r="B96" s="495"/>
      <c r="C96" s="1168"/>
      <c r="D96" s="1168"/>
      <c r="E96" s="1169">
        <f t="shared" si="248" ref="E96:AK96">E29/E17</f>
        <v>0.75236294896030242</v>
      </c>
      <c r="F96" s="1169">
        <f t="shared" si="248"/>
        <v>0.72614840989399299</v>
      </c>
      <c r="G96" s="1169">
        <f t="shared" si="248"/>
        <v>0.7813504823151125</v>
      </c>
      <c r="H96" s="52">
        <f t="shared" si="248"/>
        <v>0.82269503546099287</v>
      </c>
      <c r="I96" s="52">
        <f t="shared" si="248"/>
        <v>0.81632653061224492</v>
      </c>
      <c r="J96" s="52">
        <f t="shared" si="248"/>
        <v>0.77070063694267521</v>
      </c>
      <c r="K96" s="52">
        <f t="shared" si="248"/>
        <v>0.81875</v>
      </c>
      <c r="L96" s="1169">
        <f t="shared" si="248"/>
        <v>0.80661157024793384</v>
      </c>
      <c r="M96" s="52">
        <f t="shared" si="248"/>
        <v>0.83941605839416056</v>
      </c>
      <c r="N96" s="52">
        <f t="shared" si="248"/>
        <v>0.86624203821656054</v>
      </c>
      <c r="O96" s="52">
        <f t="shared" si="248"/>
        <v>0.83536585365853655</v>
      </c>
      <c r="P96" s="52">
        <f t="shared" si="248"/>
        <v>0.84916201117318435</v>
      </c>
      <c r="Q96" s="1169">
        <f t="shared" si="248"/>
        <v>0.84772370486656201</v>
      </c>
      <c r="R96" s="52">
        <f t="shared" si="248"/>
        <v>0.85034013605442171</v>
      </c>
      <c r="S96" s="52">
        <f t="shared" si="248"/>
        <v>0.83720930232558144</v>
      </c>
      <c r="T96" s="52">
        <f t="shared" si="248"/>
        <v>0.80107526881720426</v>
      </c>
      <c r="U96" s="52">
        <f t="shared" si="248"/>
        <v>0.85555555555555551</v>
      </c>
      <c r="V96" s="1169">
        <f t="shared" si="248"/>
        <v>0.83503649635036492</v>
      </c>
      <c r="W96" s="52">
        <f t="shared" si="248"/>
        <v>0.8597560975609756</v>
      </c>
      <c r="X96" s="52">
        <f t="shared" si="248"/>
        <v>0.85632183908045978</v>
      </c>
      <c r="Y96" s="52">
        <f t="shared" si="248"/>
        <v>0.82872928176795579</v>
      </c>
      <c r="Z96" s="52">
        <f t="shared" si="248"/>
        <v>0.75</v>
      </c>
      <c r="AA96" s="1169">
        <f t="shared" si="248"/>
        <v>0.81980742778541948</v>
      </c>
      <c r="AB96" s="52">
        <f t="shared" si="248"/>
        <v>0.82681564245810057</v>
      </c>
      <c r="AC96" s="52">
        <f t="shared" si="248"/>
        <v>0.828125</v>
      </c>
      <c r="AD96" s="52">
        <f t="shared" si="248"/>
        <v>0.7846153846153846</v>
      </c>
      <c r="AE96" s="52">
        <f t="shared" si="248"/>
        <v>0.77173913043478259</v>
      </c>
      <c r="AF96" s="1169">
        <f t="shared" si="248"/>
        <v>0.80266666666666664</v>
      </c>
      <c r="AG96" s="52">
        <f t="shared" si="248"/>
        <v>0.78804347826086951</v>
      </c>
      <c r="AH96" s="52">
        <f t="shared" si="248"/>
        <v>0.78835978835978837</v>
      </c>
      <c r="AI96" s="52">
        <f t="shared" si="248"/>
        <v>0.80676328502415462</v>
      </c>
      <c r="AJ96" s="52">
        <f t="shared" si="248"/>
        <v>0.8125</v>
      </c>
      <c r="AK96" s="1169">
        <f t="shared" si="248"/>
        <v>0.79922279792746109</v>
      </c>
      <c r="AL96" s="52">
        <f t="shared" si="249" ref="AL96:AV96">AL29/AL17</f>
        <v>0.81420765027322406</v>
      </c>
      <c r="AM96" s="52">
        <f t="shared" si="249"/>
        <v>0.78977272727272729</v>
      </c>
      <c r="AN96" s="52">
        <f t="shared" si="249"/>
        <v>0.83152173913043481</v>
      </c>
      <c r="AO96" s="52">
        <f t="shared" si="249"/>
        <v>0.83589743589743593</v>
      </c>
      <c r="AP96" s="1169">
        <f t="shared" si="249"/>
        <v>0.81842818428184283</v>
      </c>
      <c r="AQ96" s="52">
        <f t="shared" si="249"/>
        <v>0.83854166666666663</v>
      </c>
      <c r="AR96" s="52">
        <f t="shared" si="249"/>
        <v>0.84126984126984128</v>
      </c>
      <c r="AS96" s="52">
        <f t="shared" si="249"/>
        <v>0.82089552238805974</v>
      </c>
      <c r="AT96" s="52">
        <f t="shared" si="249"/>
        <v>0.81990521327014221</v>
      </c>
      <c r="AU96" s="1169">
        <f t="shared" si="249"/>
        <v>0.82976040353089531</v>
      </c>
      <c r="AV96" s="52">
        <f t="shared" si="249"/>
        <v>0.795</v>
      </c>
      <c r="AW96" s="52">
        <f t="shared" si="241"/>
        <v>0.83098591549295775</v>
      </c>
      <c r="AX96" s="52">
        <f t="shared" si="241"/>
        <v>0.75862068965517238</v>
      </c>
      <c r="AY96" s="52">
        <f t="shared" si="242"/>
        <v>0.83966244725738393</v>
      </c>
      <c r="AZ96" s="1169">
        <f t="shared" si="242"/>
        <v>0.80612244897959184</v>
      </c>
      <c r="BA96" s="52">
        <f t="shared" si="243"/>
        <v>0.8288288288288288</v>
      </c>
      <c r="BB96" s="52">
        <f t="shared" si="243"/>
        <v>0.80536912751677847</v>
      </c>
      <c r="BC96" s="52">
        <f t="shared" si="244"/>
        <v>0.81055900621118016</v>
      </c>
      <c r="BD96" s="52">
        <f t="shared" si="244"/>
        <v>0.83333333333333337</v>
      </c>
      <c r="BE96" s="1169">
        <f t="shared" si="244"/>
        <v>0.81873905429071803</v>
      </c>
      <c r="BF96" s="52">
        <f t="shared" si="245"/>
        <v>0.83571428571428574</v>
      </c>
      <c r="BG96" s="52">
        <f t="shared" si="245"/>
        <v>0.8294314381270903</v>
      </c>
      <c r="BH96" s="882">
        <f>BH29/BH17</f>
        <v>0.82558139534883723</v>
      </c>
      <c r="BI96" s="1056">
        <v>0.75</v>
      </c>
      <c r="BJ96" s="1168">
        <f>BJ29/BJ17</f>
        <v>0.80857823669579032</v>
      </c>
      <c r="BK96" s="1056">
        <v>0.84</v>
      </c>
      <c r="BL96" s="1056">
        <v>0.75</v>
      </c>
      <c r="BM96" s="1056">
        <v>0.75</v>
      </c>
      <c r="BN96" s="1056">
        <v>0.75</v>
      </c>
      <c r="BO96" s="1168">
        <f>BO29/BO17</f>
        <v>0.76901155308353419</v>
      </c>
      <c r="BP96" s="1170">
        <v>0.70</v>
      </c>
      <c r="BQ96" s="1170">
        <v>0.80</v>
      </c>
      <c r="BR96" s="1170">
        <v>0.80</v>
      </c>
      <c r="BS96" s="27"/>
    </row>
    <row r="97" spans="1:71" s="670" customFormat="1" ht="15">
      <c r="A97" s="67" t="s">
        <v>83</v>
      </c>
      <c r="B97" s="496"/>
      <c r="C97" s="1126"/>
      <c r="D97" s="1171"/>
      <c r="E97" s="1172">
        <f t="shared" si="250" ref="E97:AK97">ROUND(INDEX(MO_UI_NWP,0,COLUMN())/INDEX(MO_UI_GWP,0,COLUMN()),6)</f>
        <v>0.67462299999999997</v>
      </c>
      <c r="F97" s="1172">
        <f t="shared" si="250"/>
        <v>0.682481</v>
      </c>
      <c r="G97" s="1172">
        <f t="shared" si="250"/>
        <v>0.69531699999999996</v>
      </c>
      <c r="H97" s="69">
        <f t="shared" si="250"/>
        <v>0.73730499999999999</v>
      </c>
      <c r="I97" s="69">
        <f t="shared" si="250"/>
        <v>0.77304399999999995</v>
      </c>
      <c r="J97" s="69">
        <f t="shared" si="250"/>
        <v>0.66810099999999994</v>
      </c>
      <c r="K97" s="69">
        <f t="shared" si="250"/>
        <v>0.78664599999999996</v>
      </c>
      <c r="L97" s="1172">
        <f t="shared" si="250"/>
        <v>0.73397800000000002</v>
      </c>
      <c r="M97" s="69">
        <f t="shared" si="250"/>
        <v>0.77424700000000002</v>
      </c>
      <c r="N97" s="69">
        <f t="shared" si="250"/>
        <v>0.77845200000000003</v>
      </c>
      <c r="O97" s="69">
        <f t="shared" si="250"/>
        <v>0.67227300000000001</v>
      </c>
      <c r="P97" s="69">
        <f t="shared" si="250"/>
        <v>0.77876100000000004</v>
      </c>
      <c r="Q97" s="1172">
        <f t="shared" si="250"/>
        <v>0.74194099999999996</v>
      </c>
      <c r="R97" s="69">
        <f t="shared" si="250"/>
        <v>0.78761099999999995</v>
      </c>
      <c r="S97" s="69">
        <f t="shared" si="250"/>
        <v>0.75536499999999995</v>
      </c>
      <c r="T97" s="69">
        <f t="shared" si="250"/>
        <v>0.66771999999999998</v>
      </c>
      <c r="U97" s="69">
        <f t="shared" si="250"/>
        <v>0.75156100000000003</v>
      </c>
      <c r="V97" s="1172">
        <f t="shared" si="250"/>
        <v>0.73332200000000003</v>
      </c>
      <c r="W97" s="69">
        <f t="shared" si="250"/>
        <v>0.77568000000000004</v>
      </c>
      <c r="X97" s="69">
        <f t="shared" si="250"/>
        <v>0.75183</v>
      </c>
      <c r="Y97" s="69">
        <f t="shared" si="250"/>
        <v>0.68108400000000002</v>
      </c>
      <c r="Z97" s="69">
        <f t="shared" si="250"/>
        <v>0.73902000000000001</v>
      </c>
      <c r="AA97" s="1172">
        <f t="shared" si="250"/>
        <v>0.73069799999999996</v>
      </c>
      <c r="AB97" s="69">
        <f t="shared" si="250"/>
        <v>0.75583</v>
      </c>
      <c r="AC97" s="69">
        <f t="shared" si="250"/>
        <v>0.75495500000000004</v>
      </c>
      <c r="AD97" s="69">
        <f t="shared" si="250"/>
        <v>0.69201500000000005</v>
      </c>
      <c r="AE97" s="69">
        <f t="shared" si="250"/>
        <v>0.748915</v>
      </c>
      <c r="AF97" s="1172">
        <f t="shared" si="250"/>
        <v>0.73435700000000004</v>
      </c>
      <c r="AG97" s="69">
        <f t="shared" si="250"/>
        <v>0.74723099999999998</v>
      </c>
      <c r="AH97" s="69">
        <f t="shared" si="250"/>
        <v>0.75961500000000004</v>
      </c>
      <c r="AI97" s="69">
        <f t="shared" si="250"/>
        <v>0.688218</v>
      </c>
      <c r="AJ97" s="69">
        <f t="shared" si="250"/>
        <v>0.75071500000000002</v>
      </c>
      <c r="AK97" s="1172">
        <f t="shared" si="250"/>
        <v>0.731881</v>
      </c>
      <c r="AL97" s="69">
        <f t="shared" si="251" ref="AL97:AQ97">ROUND(INDEX(MO_UI_NWP,0,COLUMN())/INDEX(MO_UI_GWP,0,COLUMN()),6)</f>
        <v>0.73577700000000001</v>
      </c>
      <c r="AM97" s="69">
        <f t="shared" si="251"/>
        <v>0.72826800000000003</v>
      </c>
      <c r="AN97" s="69">
        <f t="shared" si="251"/>
        <v>0.66741399999999995</v>
      </c>
      <c r="AO97" s="69">
        <f t="shared" si="251"/>
        <v>0.71411999999999998</v>
      </c>
      <c r="AP97" s="1172">
        <f t="shared" si="251"/>
        <v>0.70735099999999995</v>
      </c>
      <c r="AQ97" s="69">
        <f t="shared" si="251"/>
        <v>0.745668</v>
      </c>
      <c r="AR97" s="69">
        <f t="shared" si="252" ref="AR97:AW97">ROUND(INDEX(MO_UI_NWP,0,COLUMN())/INDEX(MO_UI_GWP,0,COLUMN()),6)</f>
        <v>0.70676300000000003</v>
      </c>
      <c r="AS97" s="69">
        <f t="shared" si="252"/>
        <v>0.65097899999999997</v>
      </c>
      <c r="AT97" s="69">
        <f t="shared" si="252"/>
        <v>0.73114599999999996</v>
      </c>
      <c r="AU97" s="1172">
        <f t="shared" si="252"/>
        <v>0.70135899999999995</v>
      </c>
      <c r="AV97" s="69">
        <f t="shared" si="252"/>
        <v>0.70661200000000002</v>
      </c>
      <c r="AW97" s="69">
        <f t="shared" si="252"/>
        <v>0.71408400000000005</v>
      </c>
      <c r="AX97" s="69">
        <f t="shared" si="253" ref="AX97:BJ97">ROUND(INDEX(MO_UI_NWP,0,COLUMN())/INDEX(MO_UI_GWP,0,COLUMN()),6)</f>
        <v>0.62924199999999997</v>
      </c>
      <c r="AY97" s="69">
        <f t="shared" si="253"/>
        <v>0.72520300000000004</v>
      </c>
      <c r="AZ97" s="1172">
        <f t="shared" si="253"/>
        <v>0.68521600000000005</v>
      </c>
      <c r="BA97" s="69">
        <f t="shared" si="254" ref="BA97:BI97">ROUND(INDEX(MO_UI_NWP,0,COLUMN())/INDEX(MO_UI_GWP,0,COLUMN()),6)</f>
        <v>0.70487200000000005</v>
      </c>
      <c r="BB97" s="69">
        <f t="shared" si="254"/>
        <v>0.70367199999999996</v>
      </c>
      <c r="BC97" s="69">
        <f t="shared" si="254"/>
        <v>0.65636899999999998</v>
      </c>
      <c r="BD97" s="69">
        <f t="shared" si="254"/>
        <v>0.72540199999999999</v>
      </c>
      <c r="BE97" s="1172">
        <f t="shared" si="254"/>
        <v>0.69304100000000002</v>
      </c>
      <c r="BF97" s="69">
        <f>ROUND(INDEX(MO_UI_NWP,0,COLUMN())/INDEX(MO_UI_GWP,0,COLUMN()),6)</f>
        <v>0.69948600000000005</v>
      </c>
      <c r="BG97" s="69">
        <f>ROUND(INDEX(MO_UI_NWP,0,COLUMN())/INDEX(MO_UI_GWP,0,COLUMN()),6)</f>
        <v>0.70324200000000003</v>
      </c>
      <c r="BH97" s="883">
        <f>ROUND(INDEX(MO_UI_NWP,0,COLUMN())/INDEX(MO_UI_GWP,0,COLUMN()),6)</f>
        <v>0.62780100000000005</v>
      </c>
      <c r="BI97" s="757">
        <f t="shared" si="254"/>
        <v>0.68130900000000005</v>
      </c>
      <c r="BJ97" s="1171">
        <f t="shared" si="253"/>
        <v>0.671597</v>
      </c>
      <c r="BK97" s="757">
        <f t="shared" si="255" ref="BK97:BR97">ROUND(INDEX(MO_UI_NWP,0,COLUMN())/INDEX(MO_UI_GWP,0,COLUMN()),6)</f>
        <v>0.76769699999999996</v>
      </c>
      <c r="BL97" s="757">
        <f t="shared" si="255"/>
        <v>0.68372100000000002</v>
      </c>
      <c r="BM97" s="757">
        <f t="shared" si="255"/>
        <v>0.50543899999999997</v>
      </c>
      <c r="BN97" s="757">
        <f t="shared" si="255"/>
        <v>0.67828599999999994</v>
      </c>
      <c r="BO97" s="1171">
        <f t="shared" si="255"/>
        <v>0.63857699999999995</v>
      </c>
      <c r="BP97" s="1171">
        <f t="shared" si="255"/>
        <v>0.69393899999999997</v>
      </c>
      <c r="BQ97" s="1171">
        <f t="shared" si="255"/>
        <v>0.86079899999999998</v>
      </c>
      <c r="BR97" s="1171">
        <f t="shared" si="255"/>
        <v>0.85985599999999995</v>
      </c>
      <c r="BS97" s="29"/>
    </row>
    <row r="98" spans="1:71" s="670" customFormat="1" ht="15">
      <c r="A98" s="497"/>
      <c r="B98" s="422"/>
      <c r="C98" s="1128"/>
      <c r="D98" s="1173"/>
      <c r="E98" s="1173"/>
      <c r="F98" s="1173"/>
      <c r="G98" s="1173"/>
      <c r="H98" s="424"/>
      <c r="I98" s="424"/>
      <c r="J98" s="424"/>
      <c r="K98" s="424"/>
      <c r="L98" s="1173"/>
      <c r="M98" s="424"/>
      <c r="N98" s="424"/>
      <c r="O98" s="424"/>
      <c r="P98" s="424"/>
      <c r="Q98" s="1173"/>
      <c r="R98" s="424"/>
      <c r="S98" s="424"/>
      <c r="T98" s="424"/>
      <c r="U98" s="424"/>
      <c r="V98" s="1173"/>
      <c r="W98" s="424"/>
      <c r="X98" s="424"/>
      <c r="Y98" s="424"/>
      <c r="Z98" s="424"/>
      <c r="AA98" s="1173"/>
      <c r="AB98" s="424"/>
      <c r="AC98" s="424"/>
      <c r="AD98" s="424"/>
      <c r="AE98" s="424"/>
      <c r="AF98" s="1173"/>
      <c r="AG98" s="424"/>
      <c r="AH98" s="424"/>
      <c r="AI98" s="424"/>
      <c r="AJ98" s="424"/>
      <c r="AK98" s="1173"/>
      <c r="AL98" s="424"/>
      <c r="AM98" s="424"/>
      <c r="AN98" s="424"/>
      <c r="AO98" s="424"/>
      <c r="AP98" s="1173"/>
      <c r="AQ98" s="424"/>
      <c r="AR98" s="424"/>
      <c r="AS98" s="424"/>
      <c r="AT98" s="424"/>
      <c r="AU98" s="1173"/>
      <c r="AV98" s="424"/>
      <c r="AW98" s="424"/>
      <c r="AX98" s="424"/>
      <c r="AY98" s="424"/>
      <c r="AZ98" s="1173"/>
      <c r="BA98" s="424"/>
      <c r="BB98" s="424"/>
      <c r="BC98" s="424"/>
      <c r="BD98" s="424"/>
      <c r="BE98" s="1173"/>
      <c r="BF98" s="424"/>
      <c r="BG98" s="424"/>
      <c r="BH98" s="884"/>
      <c r="BI98" s="410"/>
      <c r="BJ98" s="1174"/>
      <c r="BK98" s="410"/>
      <c r="BL98" s="410"/>
      <c r="BM98" s="410"/>
      <c r="BN98" s="410"/>
      <c r="BO98" s="1174"/>
      <c r="BP98" s="1173"/>
      <c r="BQ98" s="1173"/>
      <c r="BR98" s="1174"/>
      <c r="BS98" s="29"/>
    </row>
    <row r="99" spans="1:71" s="671" customFormat="1" ht="15">
      <c r="A99" s="26" t="s">
        <v>84</v>
      </c>
      <c r="B99" s="493"/>
      <c r="C99" s="1118"/>
      <c r="D99" s="1163"/>
      <c r="E99" s="1164">
        <f t="shared" si="256" ref="E99:AK99">E36/E27</f>
        <v>0.98328690807799446</v>
      </c>
      <c r="F99" s="1164">
        <f t="shared" si="256"/>
        <v>0.9660556687033266</v>
      </c>
      <c r="G99" s="1164">
        <f t="shared" si="256"/>
        <v>0.98319327731092432</v>
      </c>
      <c r="H99" s="312">
        <f t="shared" si="256"/>
        <v>1.0598591549295775</v>
      </c>
      <c r="I99" s="312">
        <f t="shared" si="256"/>
        <v>0.9178470254957507</v>
      </c>
      <c r="J99" s="312">
        <f t="shared" si="256"/>
        <v>0.90647482014388492</v>
      </c>
      <c r="K99" s="312">
        <f t="shared" si="256"/>
        <v>1.1126005361930296</v>
      </c>
      <c r="L99" s="1164">
        <f t="shared" si="256"/>
        <v>0.98595146871008943</v>
      </c>
      <c r="M99" s="312">
        <f t="shared" si="256"/>
        <v>1.0868055555555556</v>
      </c>
      <c r="N99" s="312">
        <f t="shared" si="256"/>
        <v>0.90331491712707179</v>
      </c>
      <c r="O99" s="312">
        <f t="shared" si="256"/>
        <v>0.85032894736842102</v>
      </c>
      <c r="P99" s="312">
        <f t="shared" si="256"/>
        <v>1.1693121693121693</v>
      </c>
      <c r="Q99" s="1164">
        <f t="shared" si="256"/>
        <v>0.97738386308068459</v>
      </c>
      <c r="R99" s="312">
        <f t="shared" si="256"/>
        <v>1.090032154340836</v>
      </c>
      <c r="S99" s="312">
        <f t="shared" si="256"/>
        <v>0.95549738219895286</v>
      </c>
      <c r="T99" s="312">
        <f t="shared" si="256"/>
        <v>0.84273504273504274</v>
      </c>
      <c r="U99" s="312">
        <f t="shared" si="256"/>
        <v>1.1802030456852792</v>
      </c>
      <c r="V99" s="1164">
        <f t="shared" si="256"/>
        <v>0.99401913875598091</v>
      </c>
      <c r="W99" s="312">
        <f t="shared" si="256"/>
        <v>1.0555555555555556</v>
      </c>
      <c r="X99" s="312">
        <f t="shared" si="256"/>
        <v>0.90839694656488545</v>
      </c>
      <c r="Y99" s="312">
        <f t="shared" si="256"/>
        <v>0.84455128205128205</v>
      </c>
      <c r="Z99" s="312">
        <f t="shared" si="256"/>
        <v>1.1438679245283019</v>
      </c>
      <c r="AA99" s="1164">
        <f t="shared" si="256"/>
        <v>0.96940509915014161</v>
      </c>
      <c r="AB99" s="312">
        <f t="shared" si="256"/>
        <v>1.0802469135802468</v>
      </c>
      <c r="AC99" s="312">
        <f t="shared" si="256"/>
        <v>0.88625592417061616</v>
      </c>
      <c r="AD99" s="312">
        <f t="shared" si="256"/>
        <v>0.93928571428571428</v>
      </c>
      <c r="AE99" s="312">
        <f t="shared" si="256"/>
        <v>1.0691964285714286</v>
      </c>
      <c r="AF99" s="1164">
        <f t="shared" si="256"/>
        <v>0.98574686431014824</v>
      </c>
      <c r="AG99" s="312">
        <f t="shared" si="256"/>
        <v>1.0494186046511629</v>
      </c>
      <c r="AH99" s="312">
        <f t="shared" si="256"/>
        <v>0.8981042654028436</v>
      </c>
      <c r="AI99" s="312">
        <f t="shared" si="256"/>
        <v>0.88199697428139179</v>
      </c>
      <c r="AJ99" s="312">
        <f t="shared" si="256"/>
        <v>1.1247216035634744</v>
      </c>
      <c r="AK99" s="1164">
        <f t="shared" si="256"/>
        <v>0.97441364605543712</v>
      </c>
      <c r="AL99" s="312">
        <f t="shared" si="257" ref="AL99:AV99">AL36/AL27</f>
        <v>1</v>
      </c>
      <c r="AM99" s="312">
        <f t="shared" si="257"/>
        <v>0.91549295774647887</v>
      </c>
      <c r="AN99" s="312">
        <f t="shared" si="257"/>
        <v>0.90393700787401576</v>
      </c>
      <c r="AO99" s="312">
        <f t="shared" si="257"/>
        <v>1.1840909090909091</v>
      </c>
      <c r="AP99" s="1164">
        <f t="shared" si="257"/>
        <v>0.99152093269740327</v>
      </c>
      <c r="AQ99" s="312">
        <f t="shared" si="257"/>
        <v>0.97766749379652607</v>
      </c>
      <c r="AR99" s="312">
        <f t="shared" si="257"/>
        <v>0.80319148936170215</v>
      </c>
      <c r="AS99" s="312">
        <f t="shared" si="257"/>
        <v>0.90556274256144886</v>
      </c>
      <c r="AT99" s="312">
        <f t="shared" si="257"/>
        <v>1.4316546762589928</v>
      </c>
      <c r="AU99" s="1164">
        <f t="shared" si="257"/>
        <v>0.99397311080203987</v>
      </c>
      <c r="AV99" s="312">
        <f t="shared" si="257"/>
        <v>0.88423153692614775</v>
      </c>
      <c r="AW99" s="312">
        <f t="shared" si="258" ref="AW99:AX102">AW36/AW27</f>
        <v>0.79905063291139244</v>
      </c>
      <c r="AX99" s="312">
        <f t="shared" si="258"/>
        <v>0.89363920750782067</v>
      </c>
      <c r="AY99" s="312">
        <f t="shared" si="259" ref="AY99:AZ102">AY36/AY27</f>
        <v>1.6122931442080379</v>
      </c>
      <c r="AZ99" s="1164">
        <f t="shared" si="259"/>
        <v>0.98886679920477139</v>
      </c>
      <c r="BA99" s="312">
        <f t="shared" si="260" ref="BA99:BB102">BA36/BA27</f>
        <v>0.86050724637681164</v>
      </c>
      <c r="BB99" s="312">
        <f t="shared" si="260"/>
        <v>0.79940119760479045</v>
      </c>
      <c r="BC99" s="312">
        <f t="shared" si="261" ref="BC99:BE102">BC36/BC27</f>
        <v>0.91491712707182316</v>
      </c>
      <c r="BD99" s="312">
        <f t="shared" si="261"/>
        <v>1.6009389671361502</v>
      </c>
      <c r="BE99" s="1164">
        <f t="shared" si="261"/>
        <v>0.98745589964719716</v>
      </c>
      <c r="BF99" s="312">
        <f t="shared" si="262" ref="BF99:BG102">BF36/BF27</f>
        <v>0.86802030456852797</v>
      </c>
      <c r="BG99" s="312">
        <f t="shared" si="262"/>
        <v>0.79735682819383258</v>
      </c>
      <c r="BH99" s="881">
        <f>BH36/BH27</f>
        <v>0.86052631578947369</v>
      </c>
      <c r="BI99" s="1053">
        <v>0.86</v>
      </c>
      <c r="BJ99" s="1165">
        <f>BJ36/BJ27</f>
        <v>0.84747201176261278</v>
      </c>
      <c r="BK99" s="1053">
        <v>0.79</v>
      </c>
      <c r="BL99" s="1053">
        <v>0.79</v>
      </c>
      <c r="BM99" s="1053">
        <v>0.79</v>
      </c>
      <c r="BN99" s="1053">
        <v>0.79</v>
      </c>
      <c r="BO99" s="1165">
        <f>BO36/BO27</f>
        <v>0.79</v>
      </c>
      <c r="BP99" s="1166">
        <v>0.79</v>
      </c>
      <c r="BQ99" s="1166">
        <v>0.79</v>
      </c>
      <c r="BR99" s="1167">
        <v>0.79</v>
      </c>
      <c r="BS99" s="27"/>
    </row>
    <row r="100" spans="1:71" s="671" customFormat="1" ht="15">
      <c r="A100" s="26" t="s">
        <v>85</v>
      </c>
      <c r="B100" s="493"/>
      <c r="C100" s="1118"/>
      <c r="D100" s="1163"/>
      <c r="E100" s="1164">
        <f t="shared" si="263" ref="E100:AK100">E37/E28</f>
        <v>1.0057670126874279</v>
      </c>
      <c r="F100" s="1164">
        <f t="shared" si="263"/>
        <v>0.95564516129032262</v>
      </c>
      <c r="G100" s="1164">
        <f t="shared" si="263"/>
        <v>0.92728758169934644</v>
      </c>
      <c r="H100" s="312">
        <f t="shared" si="263"/>
        <v>0.94561933534743203</v>
      </c>
      <c r="I100" s="312">
        <f t="shared" si="263"/>
        <v>0.93587174348697399</v>
      </c>
      <c r="J100" s="312">
        <f t="shared" si="263"/>
        <v>0.90671641791044777</v>
      </c>
      <c r="K100" s="312">
        <f t="shared" si="263"/>
        <v>1.0020080321285141</v>
      </c>
      <c r="L100" s="1164">
        <f t="shared" si="263"/>
        <v>0.94688841201716734</v>
      </c>
      <c r="M100" s="312">
        <f t="shared" si="263"/>
        <v>0.97804391217564868</v>
      </c>
      <c r="N100" s="312">
        <f t="shared" si="263"/>
        <v>1</v>
      </c>
      <c r="O100" s="312">
        <f t="shared" si="263"/>
        <v>0.92293577981651376</v>
      </c>
      <c r="P100" s="312">
        <f t="shared" si="263"/>
        <v>1.0238568588469186</v>
      </c>
      <c r="Q100" s="1164">
        <f t="shared" si="263"/>
        <v>0.9800194931773879</v>
      </c>
      <c r="R100" s="312">
        <f t="shared" si="263"/>
        <v>0.96724470134874763</v>
      </c>
      <c r="S100" s="312">
        <f t="shared" si="263"/>
        <v>0.98807157057654071</v>
      </c>
      <c r="T100" s="312">
        <f t="shared" si="263"/>
        <v>0.98611111111111116</v>
      </c>
      <c r="U100" s="312">
        <f t="shared" si="263"/>
        <v>1</v>
      </c>
      <c r="V100" s="1164">
        <f t="shared" si="263"/>
        <v>0.98526522593320232</v>
      </c>
      <c r="W100" s="312">
        <f t="shared" si="263"/>
        <v>0.94074074074074077</v>
      </c>
      <c r="X100" s="312">
        <f t="shared" si="263"/>
        <v>0.95721925133689845</v>
      </c>
      <c r="Y100" s="312">
        <f t="shared" si="263"/>
        <v>0.91025641025641024</v>
      </c>
      <c r="Z100" s="312">
        <f t="shared" si="263"/>
        <v>1.0324324324324323</v>
      </c>
      <c r="AA100" s="1164">
        <f t="shared" si="263"/>
        <v>0.95877192982456139</v>
      </c>
      <c r="AB100" s="312">
        <f t="shared" si="263"/>
        <v>0.9747474747474747</v>
      </c>
      <c r="AC100" s="312">
        <f t="shared" si="263"/>
        <v>0.93114241001564946</v>
      </c>
      <c r="AD100" s="312">
        <f t="shared" si="263"/>
        <v>0.88633093525179851</v>
      </c>
      <c r="AE100" s="312">
        <f t="shared" si="263"/>
        <v>1.0550774526678142</v>
      </c>
      <c r="AF100" s="1164">
        <f t="shared" si="263"/>
        <v>0.95775209246711834</v>
      </c>
      <c r="AG100" s="312">
        <f t="shared" si="263"/>
        <v>1.0047923322683705</v>
      </c>
      <c r="AH100" s="312">
        <f t="shared" si="263"/>
        <v>0.95770392749244715</v>
      </c>
      <c r="AI100" s="312">
        <f t="shared" si="263"/>
        <v>0.88440860215053763</v>
      </c>
      <c r="AJ100" s="312">
        <f t="shared" si="263"/>
        <v>1.0104633781763828</v>
      </c>
      <c r="AK100" s="1164">
        <f t="shared" si="263"/>
        <v>0.96149574231766011</v>
      </c>
      <c r="AL100" s="312">
        <f t="shared" si="264" ref="AL100:AV100">AL37/AL28</f>
        <v>0.94880546075085326</v>
      </c>
      <c r="AM100" s="312">
        <f t="shared" si="264"/>
        <v>1.0704500978473581</v>
      </c>
      <c r="AN100" s="312">
        <f t="shared" si="264"/>
        <v>0.87227414330218067</v>
      </c>
      <c r="AO100" s="312">
        <f t="shared" si="264"/>
        <v>1.0123893805309734</v>
      </c>
      <c r="AP100" s="1164">
        <f t="shared" si="264"/>
        <v>0.97005208333333337</v>
      </c>
      <c r="AQ100" s="312">
        <f t="shared" si="264"/>
        <v>0.97108843537414968</v>
      </c>
      <c r="AR100" s="312">
        <f t="shared" si="264"/>
        <v>0.9932432432432432</v>
      </c>
      <c r="AS100" s="312">
        <f t="shared" si="264"/>
        <v>0.83743169398907102</v>
      </c>
      <c r="AT100" s="312">
        <f t="shared" si="264"/>
        <v>1.0127388535031847</v>
      </c>
      <c r="AU100" s="1164">
        <f t="shared" si="264"/>
        <v>0.94803149606299209</v>
      </c>
      <c r="AV100" s="312">
        <f t="shared" si="264"/>
        <v>0.98307692307692307</v>
      </c>
      <c r="AW100" s="312">
        <f t="shared" si="258"/>
        <v>1.0170278637770898</v>
      </c>
      <c r="AX100" s="312">
        <f t="shared" si="258"/>
        <v>0.8712998712998713</v>
      </c>
      <c r="AY100" s="312">
        <f t="shared" si="259"/>
        <v>1.0473282442748091</v>
      </c>
      <c r="AZ100" s="1164">
        <f t="shared" si="259"/>
        <v>0.97470674486803521</v>
      </c>
      <c r="BA100" s="312">
        <f t="shared" si="260"/>
        <v>0.97506925207756234</v>
      </c>
      <c r="BB100" s="312">
        <f t="shared" si="260"/>
        <v>1.025974025974026</v>
      </c>
      <c r="BC100" s="312">
        <f t="shared" si="261"/>
        <v>0.88540410132689984</v>
      </c>
      <c r="BD100" s="312">
        <f t="shared" si="261"/>
        <v>1.0528571428571429</v>
      </c>
      <c r="BE100" s="1164">
        <f t="shared" si="261"/>
        <v>0.98029891304347827</v>
      </c>
      <c r="BF100" s="312">
        <f t="shared" si="262"/>
        <v>0.9720372836218375</v>
      </c>
      <c r="BG100" s="312">
        <f t="shared" si="262"/>
        <v>1.0497159090909092</v>
      </c>
      <c r="BH100" s="881">
        <f>BH37/BH28</f>
        <v>0.86210892236384706</v>
      </c>
      <c r="BI100" s="1053">
        <v>0.90</v>
      </c>
      <c r="BJ100" s="1165">
        <f>BJ37/BJ28</f>
        <v>0.94167239059518559</v>
      </c>
      <c r="BK100" s="1053">
        <v>0.90</v>
      </c>
      <c r="BL100" s="1053">
        <v>0.90</v>
      </c>
      <c r="BM100" s="1053">
        <v>0.90</v>
      </c>
      <c r="BN100" s="1053">
        <v>0.90</v>
      </c>
      <c r="BO100" s="1165">
        <f>BO37/BO28</f>
        <v>0.90</v>
      </c>
      <c r="BP100" s="1166">
        <v>0.90</v>
      </c>
      <c r="BQ100" s="1166">
        <v>0.90</v>
      </c>
      <c r="BR100" s="1167">
        <v>0.90</v>
      </c>
      <c r="BS100" s="27"/>
    </row>
    <row r="101" spans="1:71" s="671" customFormat="1" ht="15">
      <c r="A101" s="26" t="s">
        <v>86</v>
      </c>
      <c r="B101" s="493"/>
      <c r="C101" s="1163"/>
      <c r="D101" s="1163"/>
      <c r="E101" s="1164">
        <f t="shared" si="265" ref="E101:AK101">E38/E29</f>
        <v>1.0251256281407035</v>
      </c>
      <c r="F101" s="1164">
        <f t="shared" si="265"/>
        <v>0.98540145985401462</v>
      </c>
      <c r="G101" s="1164">
        <f t="shared" si="265"/>
        <v>0.96502057613168724</v>
      </c>
      <c r="H101" s="312">
        <f t="shared" si="265"/>
        <v>1.0086206896551724</v>
      </c>
      <c r="I101" s="312">
        <f t="shared" si="265"/>
        <v>0.96666666666666667</v>
      </c>
      <c r="J101" s="312">
        <f t="shared" si="265"/>
        <v>0.95041322314049592</v>
      </c>
      <c r="K101" s="312">
        <f t="shared" si="265"/>
        <v>0.92366412213740456</v>
      </c>
      <c r="L101" s="1164">
        <f t="shared" si="265"/>
        <v>0.96106557377049184</v>
      </c>
      <c r="M101" s="312">
        <f t="shared" si="265"/>
        <v>1.0434782608695652</v>
      </c>
      <c r="N101" s="312">
        <f t="shared" si="265"/>
        <v>0.94852941176470584</v>
      </c>
      <c r="O101" s="312">
        <f t="shared" si="265"/>
        <v>0.95620437956204385</v>
      </c>
      <c r="P101" s="312">
        <f t="shared" si="265"/>
        <v>0.90131578947368418</v>
      </c>
      <c r="Q101" s="1164">
        <f t="shared" si="265"/>
        <v>0.95740740740740737</v>
      </c>
      <c r="R101" s="312">
        <f t="shared" si="265"/>
        <v>1.056</v>
      </c>
      <c r="S101" s="312">
        <f t="shared" si="265"/>
        <v>0.96527777777777779</v>
      </c>
      <c r="T101" s="312">
        <f t="shared" si="265"/>
        <v>0.97315436241610742</v>
      </c>
      <c r="U101" s="312">
        <f t="shared" si="265"/>
        <v>0.91558441558441561</v>
      </c>
      <c r="V101" s="1164">
        <f t="shared" si="265"/>
        <v>0.97377622377622375</v>
      </c>
      <c r="W101" s="312">
        <f t="shared" si="265"/>
        <v>1.0425531914893618</v>
      </c>
      <c r="X101" s="312">
        <f t="shared" si="265"/>
        <v>0.97986577181208057</v>
      </c>
      <c r="Y101" s="312">
        <f t="shared" si="265"/>
        <v>0.94666666666666666</v>
      </c>
      <c r="Z101" s="312">
        <f t="shared" si="265"/>
        <v>0.90384615384615385</v>
      </c>
      <c r="AA101" s="1164">
        <f t="shared" si="265"/>
        <v>0.96644295302013428</v>
      </c>
      <c r="AB101" s="312">
        <f t="shared" si="265"/>
        <v>1.0067567567567568</v>
      </c>
      <c r="AC101" s="312">
        <f t="shared" si="265"/>
        <v>1</v>
      </c>
      <c r="AD101" s="312">
        <f t="shared" si="265"/>
        <v>0.97385620915032678</v>
      </c>
      <c r="AE101" s="312">
        <f t="shared" si="265"/>
        <v>0.99295774647887325</v>
      </c>
      <c r="AF101" s="1164">
        <f t="shared" si="265"/>
        <v>0.99335548172757471</v>
      </c>
      <c r="AG101" s="312">
        <f t="shared" si="265"/>
        <v>1.0068965517241379</v>
      </c>
      <c r="AH101" s="312">
        <f t="shared" si="265"/>
        <v>1.0134228187919463</v>
      </c>
      <c r="AI101" s="312">
        <f t="shared" si="265"/>
        <v>0.9640718562874252</v>
      </c>
      <c r="AJ101" s="312">
        <f t="shared" si="265"/>
        <v>0.97435897435897434</v>
      </c>
      <c r="AK101" s="1164">
        <f t="shared" si="265"/>
        <v>0.98865478119935168</v>
      </c>
      <c r="AL101" s="312">
        <f t="shared" si="266" ref="AL101:AV101">AL38/AL29</f>
        <v>1.0469798657718121</v>
      </c>
      <c r="AM101" s="312">
        <f t="shared" si="266"/>
        <v>1.0359712230215827</v>
      </c>
      <c r="AN101" s="312">
        <f t="shared" si="266"/>
        <v>1.0130718954248366</v>
      </c>
      <c r="AO101" s="312">
        <f t="shared" si="266"/>
        <v>0.96932515337423308</v>
      </c>
      <c r="AP101" s="1164">
        <f t="shared" si="266"/>
        <v>1.0149006622516556</v>
      </c>
      <c r="AQ101" s="312">
        <f t="shared" si="266"/>
        <v>0.97515527950310554</v>
      </c>
      <c r="AR101" s="312">
        <f t="shared" si="266"/>
        <v>0.98742138364779874</v>
      </c>
      <c r="AS101" s="312">
        <f t="shared" si="266"/>
        <v>0.98787878787878791</v>
      </c>
      <c r="AT101" s="312">
        <f t="shared" si="266"/>
        <v>0.95375722543352603</v>
      </c>
      <c r="AU101" s="1164">
        <f t="shared" si="266"/>
        <v>0.9756838905775076</v>
      </c>
      <c r="AV101" s="312">
        <f t="shared" si="266"/>
        <v>1.0251572327044025</v>
      </c>
      <c r="AW101" s="312">
        <f t="shared" si="258"/>
        <v>0.96610169491525422</v>
      </c>
      <c r="AX101" s="312">
        <f t="shared" si="258"/>
        <v>0.97159090909090906</v>
      </c>
      <c r="AY101" s="312">
        <f t="shared" si="259"/>
        <v>0.96984924623115576</v>
      </c>
      <c r="AZ101" s="1164">
        <f t="shared" si="259"/>
        <v>0.98171589310829821</v>
      </c>
      <c r="BA101" s="312">
        <f t="shared" si="260"/>
        <v>1.0652173913043479</v>
      </c>
      <c r="BB101" s="312">
        <f t="shared" si="260"/>
        <v>0.8125</v>
      </c>
      <c r="BC101" s="312">
        <f t="shared" si="261"/>
        <v>0.88888888888888884</v>
      </c>
      <c r="BD101" s="312">
        <f t="shared" si="261"/>
        <v>0.97599999999999998</v>
      </c>
      <c r="BE101" s="1164">
        <f t="shared" si="261"/>
        <v>0.92727272727272725</v>
      </c>
      <c r="BF101" s="312">
        <f t="shared" si="262"/>
        <v>1.0384615384615385</v>
      </c>
      <c r="BG101" s="312">
        <f t="shared" si="262"/>
        <v>0.97177419354838712</v>
      </c>
      <c r="BH101" s="881">
        <f>BH38/BH29</f>
        <v>0.94718309859154926</v>
      </c>
      <c r="BI101" s="1053">
        <v>0.95</v>
      </c>
      <c r="BJ101" s="1165">
        <f>BJ38/BJ29</f>
        <v>0.97485265225933215</v>
      </c>
      <c r="BK101" s="1053">
        <v>0.95</v>
      </c>
      <c r="BL101" s="1053">
        <v>0.95</v>
      </c>
      <c r="BM101" s="1053">
        <v>0.95</v>
      </c>
      <c r="BN101" s="1053">
        <v>0.95</v>
      </c>
      <c r="BO101" s="1165">
        <f>BO38/BO29</f>
        <v>0.94999999999999984</v>
      </c>
      <c r="BP101" s="1166">
        <v>0.95</v>
      </c>
      <c r="BQ101" s="1166">
        <v>0.95</v>
      </c>
      <c r="BR101" s="1167">
        <v>0.95</v>
      </c>
      <c r="BS101" s="27"/>
    </row>
    <row r="102" spans="1:71" s="671" customFormat="1" ht="15">
      <c r="A102" s="45" t="s">
        <v>87</v>
      </c>
      <c r="B102" s="495"/>
      <c r="C102" s="1168"/>
      <c r="D102" s="1168"/>
      <c r="E102" s="1169">
        <f t="shared" si="267" ref="E102:AK102">E39/E30</f>
        <v>0.97101449275362317</v>
      </c>
      <c r="F102" s="1169">
        <f t="shared" si="267"/>
        <v>0.9726027397260274</v>
      </c>
      <c r="G102" s="1169">
        <f t="shared" si="267"/>
        <v>0.94047619047619047</v>
      </c>
      <c r="H102" s="52">
        <f t="shared" si="267"/>
        <v>0.95833333333333337</v>
      </c>
      <c r="I102" s="52">
        <f t="shared" si="267"/>
        <v>0.92307692307692313</v>
      </c>
      <c r="J102" s="52">
        <f t="shared" si="267"/>
        <v>0.93103448275862066</v>
      </c>
      <c r="K102" s="52">
        <f t="shared" si="267"/>
        <v>1.1304347826086956</v>
      </c>
      <c r="L102" s="1169">
        <f t="shared" si="267"/>
        <v>0.98039215686274506</v>
      </c>
      <c r="M102" s="52">
        <f t="shared" si="267"/>
        <v>1.0454545454545454</v>
      </c>
      <c r="N102" s="52">
        <f t="shared" si="267"/>
        <v>1.04</v>
      </c>
      <c r="O102" s="52">
        <f t="shared" si="267"/>
        <v>0.75862068965517238</v>
      </c>
      <c r="P102" s="52">
        <f t="shared" si="267"/>
        <v>1.1304347826086956</v>
      </c>
      <c r="Q102" s="1169">
        <f t="shared" si="267"/>
        <v>0.97979797979797978</v>
      </c>
      <c r="R102" s="52">
        <f t="shared" si="267"/>
        <v>1.0416666666666667</v>
      </c>
      <c r="S102" s="52">
        <f t="shared" si="267"/>
        <v>0.96296296296296291</v>
      </c>
      <c r="T102" s="52">
        <f t="shared" si="267"/>
        <v>0.80</v>
      </c>
      <c r="U102" s="52">
        <f t="shared" si="267"/>
        <v>1.1200000000000001</v>
      </c>
      <c r="V102" s="1169">
        <f t="shared" si="267"/>
        <v>0.97169811320754718</v>
      </c>
      <c r="W102" s="52">
        <f t="shared" si="267"/>
        <v>1.1363636363636365</v>
      </c>
      <c r="X102" s="52">
        <f t="shared" si="267"/>
        <v>0.92592592592592593</v>
      </c>
      <c r="Y102" s="52">
        <f t="shared" si="267"/>
        <v>0.8571428571428571</v>
      </c>
      <c r="Z102" s="52">
        <f t="shared" si="267"/>
        <v>1</v>
      </c>
      <c r="AA102" s="1169">
        <f t="shared" si="267"/>
        <v>0.96363636363636362</v>
      </c>
      <c r="AB102" s="52">
        <f t="shared" si="267"/>
        <v>0.80555555555555558</v>
      </c>
      <c r="AC102" s="52">
        <f t="shared" si="267"/>
        <v>0.89189189189189189</v>
      </c>
      <c r="AD102" s="52">
        <f t="shared" si="267"/>
        <v>0.75</v>
      </c>
      <c r="AE102" s="52">
        <f t="shared" si="267"/>
        <v>1</v>
      </c>
      <c r="AF102" s="1169">
        <f t="shared" si="267"/>
        <v>0.85443037974683544</v>
      </c>
      <c r="AG102" s="52">
        <f t="shared" si="267"/>
        <v>1.15625</v>
      </c>
      <c r="AH102" s="52">
        <f t="shared" si="267"/>
        <v>1.1612903225806452</v>
      </c>
      <c r="AI102" s="52">
        <f t="shared" si="267"/>
        <v>0.86956521739130432</v>
      </c>
      <c r="AJ102" s="52">
        <f t="shared" si="267"/>
        <v>0.94871794871794868</v>
      </c>
      <c r="AK102" s="1169">
        <f t="shared" si="267"/>
        <v>1.0135135135135136</v>
      </c>
      <c r="AL102" s="52">
        <f t="shared" si="268" ref="AL102:AV102">AL39/AL30</f>
        <v>2.5813953488372094</v>
      </c>
      <c r="AM102" s="52">
        <f t="shared" si="268"/>
        <v>1.8727272727272728</v>
      </c>
      <c r="AN102" s="52">
        <f t="shared" si="268"/>
        <v>1.5593220338983051</v>
      </c>
      <c r="AO102" s="52">
        <f t="shared" si="268"/>
        <v>1.2131147540983607</v>
      </c>
      <c r="AP102" s="1169">
        <f t="shared" si="268"/>
        <v>1.7431192660550459</v>
      </c>
      <c r="AQ102" s="52">
        <f t="shared" si="268"/>
        <v>0.96226415094339623</v>
      </c>
      <c r="AR102" s="52">
        <f t="shared" si="268"/>
        <v>0.96296296296296291</v>
      </c>
      <c r="AS102" s="52">
        <f t="shared" si="268"/>
        <v>0.89830508474576276</v>
      </c>
      <c r="AT102" s="52">
        <f t="shared" si="268"/>
        <v>1.0384615384615385</v>
      </c>
      <c r="AU102" s="1169">
        <f t="shared" si="268"/>
        <v>0.96330275229357798</v>
      </c>
      <c r="AV102" s="52">
        <f t="shared" si="268"/>
        <v>0.98275862068965514</v>
      </c>
      <c r="AW102" s="52">
        <f t="shared" si="258"/>
        <v>0.98360655737704916</v>
      </c>
      <c r="AX102" s="52">
        <f t="shared" si="258"/>
        <v>0.86111111111111116</v>
      </c>
      <c r="AY102" s="52">
        <f t="shared" si="259"/>
        <v>1.0163934426229508</v>
      </c>
      <c r="AZ102" s="1169">
        <f t="shared" si="259"/>
        <v>0.95634920634920639</v>
      </c>
      <c r="BA102" s="52">
        <f t="shared" si="260"/>
        <v>1.0163934426229508</v>
      </c>
      <c r="BB102" s="52">
        <f t="shared" si="260"/>
        <v>1.0151515151515151</v>
      </c>
      <c r="BC102" s="52">
        <f t="shared" si="261"/>
        <v>0.9242424242424242</v>
      </c>
      <c r="BD102" s="52">
        <f t="shared" si="261"/>
        <v>1</v>
      </c>
      <c r="BE102" s="1169">
        <f t="shared" si="261"/>
        <v>0.98854961832061072</v>
      </c>
      <c r="BF102" s="52">
        <f t="shared" si="262"/>
        <v>1.0344827586206897</v>
      </c>
      <c r="BG102" s="52">
        <f t="shared" si="262"/>
        <v>1.0508474576271187</v>
      </c>
      <c r="BH102" s="882">
        <f>BH39/BH30</f>
        <v>0.9242424242424242</v>
      </c>
      <c r="BI102" s="1056">
        <v>0.90</v>
      </c>
      <c r="BJ102" s="1168">
        <f>BJ39/BJ30</f>
        <v>0.97530864197530864</v>
      </c>
      <c r="BK102" s="1056">
        <v>0.90</v>
      </c>
      <c r="BL102" s="1056">
        <v>0.90</v>
      </c>
      <c r="BM102" s="1056">
        <v>0.90</v>
      </c>
      <c r="BN102" s="1056">
        <v>0.90</v>
      </c>
      <c r="BO102" s="1168">
        <f>BO39/BO30</f>
        <v>0.90</v>
      </c>
      <c r="BP102" s="1170">
        <v>0.90</v>
      </c>
      <c r="BQ102" s="1170">
        <v>0.90</v>
      </c>
      <c r="BR102" s="1170">
        <v>0.90</v>
      </c>
      <c r="BS102" s="27"/>
    </row>
    <row r="103" spans="1:71" s="670" customFormat="1" ht="15">
      <c r="A103" s="67" t="s">
        <v>88</v>
      </c>
      <c r="B103" s="496"/>
      <c r="C103" s="1126"/>
      <c r="D103" s="1171"/>
      <c r="E103" s="1172">
        <f t="shared" si="269" ref="E103:AK103">ROUND(INDEX(MO_UI_NEP,0,COLUMN())/INDEX(MO_UI_NWP,0,COLUMN()),6)</f>
        <v>0.99602900000000005</v>
      </c>
      <c r="F103" s="1172">
        <f t="shared" si="269"/>
        <v>0.96541200000000005</v>
      </c>
      <c r="G103" s="1172">
        <f t="shared" si="269"/>
        <v>0.95899400000000001</v>
      </c>
      <c r="H103" s="69">
        <f t="shared" si="269"/>
        <v>0.99867499999999998</v>
      </c>
      <c r="I103" s="69">
        <f t="shared" si="269"/>
        <v>0.93286599999999997</v>
      </c>
      <c r="J103" s="69">
        <f t="shared" si="269"/>
        <v>0.91143300000000005</v>
      </c>
      <c r="K103" s="69">
        <f t="shared" si="269"/>
        <v>1.0351220000000001</v>
      </c>
      <c r="L103" s="1172">
        <f t="shared" si="269"/>
        <v>0.96467700000000001</v>
      </c>
      <c r="M103" s="69">
        <f t="shared" si="269"/>
        <v>1.021598</v>
      </c>
      <c r="N103" s="69">
        <f t="shared" si="269"/>
        <v>0.96003899999999998</v>
      </c>
      <c r="O103" s="69">
        <f t="shared" si="269"/>
        <v>0.88931000000000004</v>
      </c>
      <c r="P103" s="69">
        <f t="shared" si="269"/>
        <v>1.0606059999999999</v>
      </c>
      <c r="Q103" s="1172">
        <f t="shared" si="269"/>
        <v>0.97619599999999995</v>
      </c>
      <c r="R103" s="69">
        <f t="shared" si="269"/>
        <v>1.0194080000000001</v>
      </c>
      <c r="S103" s="69">
        <f t="shared" si="269"/>
        <v>0.97253800000000001</v>
      </c>
      <c r="T103" s="69">
        <f t="shared" si="269"/>
        <v>0.91403800000000002</v>
      </c>
      <c r="U103" s="69">
        <f t="shared" si="269"/>
        <v>1.056325</v>
      </c>
      <c r="V103" s="1172">
        <f t="shared" si="269"/>
        <v>0.98677599999999999</v>
      </c>
      <c r="W103" s="69">
        <f t="shared" si="269"/>
        <v>0.99513099999999999</v>
      </c>
      <c r="X103" s="69">
        <f t="shared" si="269"/>
        <v>0.94247800000000004</v>
      </c>
      <c r="Y103" s="69">
        <f t="shared" si="269"/>
        <v>0.88415900000000003</v>
      </c>
      <c r="Z103" s="69">
        <f t="shared" si="269"/>
        <v>1.0551250000000001</v>
      </c>
      <c r="AA103" s="1172">
        <f t="shared" si="269"/>
        <v>0.96379700000000001</v>
      </c>
      <c r="AB103" s="69">
        <f t="shared" si="269"/>
        <v>1.004537</v>
      </c>
      <c r="AC103" s="69">
        <f t="shared" si="269"/>
        <v>0.923628</v>
      </c>
      <c r="AD103" s="69">
        <f t="shared" si="269"/>
        <v>0.91140100000000002</v>
      </c>
      <c r="AE103" s="69">
        <f t="shared" si="269"/>
        <v>1.0513250000000001</v>
      </c>
      <c r="AF103" s="1172">
        <f t="shared" si="269"/>
        <v>0.96854499999999999</v>
      </c>
      <c r="AG103" s="69">
        <f t="shared" si="269"/>
        <v>1.0226679999999999</v>
      </c>
      <c r="AH103" s="69">
        <f t="shared" si="269"/>
        <v>0.94936699999999996</v>
      </c>
      <c r="AI103" s="69">
        <f t="shared" si="269"/>
        <v>0.89122400000000002</v>
      </c>
      <c r="AJ103" s="69">
        <f t="shared" si="269"/>
        <v>1.043412</v>
      </c>
      <c r="AK103" s="1172">
        <f t="shared" si="269"/>
        <v>0.97060999999999997</v>
      </c>
      <c r="AL103" s="69">
        <f t="shared" si="270" ref="AL103:AQ103">ROUND(INDEX(MO_UI_NEP,0,COLUMN())/INDEX(MO_UI_NWP,0,COLUMN()),6)</f>
        <v>1.0386599999999999</v>
      </c>
      <c r="AM103" s="69">
        <f t="shared" si="270"/>
        <v>1.046861</v>
      </c>
      <c r="AN103" s="69">
        <f t="shared" si="270"/>
        <v>0.92746799999999996</v>
      </c>
      <c r="AO103" s="69">
        <f t="shared" si="270"/>
        <v>1.078112</v>
      </c>
      <c r="AP103" s="1172">
        <f t="shared" si="270"/>
        <v>1.017155</v>
      </c>
      <c r="AQ103" s="69">
        <f t="shared" si="270"/>
        <v>0.97344399999999998</v>
      </c>
      <c r="AR103" s="69">
        <f t="shared" si="271" ref="AR103:AW103">ROUND(INDEX(MO_UI_NEP,0,COLUMN())/INDEX(MO_UI_NWP,0,COLUMN()),6)</f>
        <v>0.91307499999999997</v>
      </c>
      <c r="AS103" s="69">
        <f t="shared" si="271"/>
        <v>0.88432599999999995</v>
      </c>
      <c r="AT103" s="69">
        <f t="shared" si="271"/>
        <v>1.1433070000000001</v>
      </c>
      <c r="AU103" s="1172">
        <f t="shared" si="271"/>
        <v>0.96967499999999995</v>
      </c>
      <c r="AV103" s="69">
        <f t="shared" si="271"/>
        <v>0.95175399999999999</v>
      </c>
      <c r="AW103" s="69">
        <f t="shared" si="271"/>
        <v>0.91886500000000004</v>
      </c>
      <c r="AX103" s="69">
        <f t="shared" si="272" ref="AX103:BJ103">ROUND(INDEX(MO_UI_NEP,0,COLUMN())/INDEX(MO_UI_NWP,0,COLUMN()),6)</f>
        <v>0.890625</v>
      </c>
      <c r="AY103" s="69">
        <f t="shared" si="272"/>
        <v>1.213004</v>
      </c>
      <c r="AZ103" s="1172">
        <f t="shared" si="272"/>
        <v>0.98050300000000001</v>
      </c>
      <c r="BA103" s="69">
        <f t="shared" si="273" ref="BA103:BI103">ROUND(INDEX(MO_UI_NEP,0,COLUMN())/INDEX(MO_UI_NWP,0,COLUMN()),6)</f>
        <v>0.946017</v>
      </c>
      <c r="BB103" s="69">
        <f t="shared" si="273"/>
        <v>0.90401900000000002</v>
      </c>
      <c r="BC103" s="69">
        <f t="shared" si="273"/>
        <v>0.90004899999999999</v>
      </c>
      <c r="BD103" s="69">
        <f t="shared" si="273"/>
        <v>1.1986159999999999</v>
      </c>
      <c r="BE103" s="1172">
        <f t="shared" si="273"/>
        <v>0.97594099999999995</v>
      </c>
      <c r="BF103" s="69">
        <f>ROUND(INDEX(MO_UI_NEP,0,COLUMN())/INDEX(MO_UI_NWP,0,COLUMN()),6)</f>
        <v>0.94614399999999999</v>
      </c>
      <c r="BG103" s="69">
        <f>ROUND(INDEX(MO_UI_NEP,0,COLUMN())/INDEX(MO_UI_NWP,0,COLUMN()),6)</f>
        <v>0.93676099999999995</v>
      </c>
      <c r="BH103" s="883">
        <f>ROUND(INDEX(MO_UI_NEP,0,COLUMN())/INDEX(MO_UI_NWP,0,COLUMN()),6)</f>
        <v>0.87335300000000005</v>
      </c>
      <c r="BI103" s="757">
        <f t="shared" si="273"/>
        <v>0.89371599999999995</v>
      </c>
      <c r="BJ103" s="1171">
        <f t="shared" si="272"/>
        <v>0.90890099999999996</v>
      </c>
      <c r="BK103" s="757">
        <f t="shared" si="274" ref="BK103:BR103">ROUND(INDEX(MO_UI_NEP,0,COLUMN())/INDEX(MO_UI_NWP,0,COLUMN()),6)</f>
        <v>0.86333899999999997</v>
      </c>
      <c r="BL103" s="757">
        <f t="shared" si="274"/>
        <v>0.85607699999999998</v>
      </c>
      <c r="BM103" s="757">
        <f t="shared" si="274"/>
        <v>0.85542399999999996</v>
      </c>
      <c r="BN103" s="757">
        <f t="shared" si="274"/>
        <v>0.86872300000000002</v>
      </c>
      <c r="BO103" s="1171">
        <f t="shared" si="274"/>
        <v>0.86073900000000003</v>
      </c>
      <c r="BP103" s="1171">
        <f t="shared" si="274"/>
        <v>0.86360199999999998</v>
      </c>
      <c r="BQ103" s="1171">
        <f t="shared" si="274"/>
        <v>0.85868100000000003</v>
      </c>
      <c r="BR103" s="1171">
        <f t="shared" si="274"/>
        <v>0.86019400000000001</v>
      </c>
      <c r="BS103" s="29"/>
    </row>
    <row r="104" spans="1:71" s="670" customFormat="1" ht="15">
      <c r="A104" s="498"/>
      <c r="B104" s="422"/>
      <c r="C104" s="1173"/>
      <c r="D104" s="1173"/>
      <c r="E104" s="1173"/>
      <c r="F104" s="1173"/>
      <c r="G104" s="1173"/>
      <c r="H104" s="424"/>
      <c r="I104" s="424"/>
      <c r="J104" s="424"/>
      <c r="K104" s="424"/>
      <c r="L104" s="1173"/>
      <c r="M104" s="424"/>
      <c r="N104" s="424"/>
      <c r="O104" s="424"/>
      <c r="P104" s="424"/>
      <c r="Q104" s="1173"/>
      <c r="R104" s="424"/>
      <c r="S104" s="424"/>
      <c r="T104" s="424"/>
      <c r="U104" s="424"/>
      <c r="V104" s="1173"/>
      <c r="W104" s="424"/>
      <c r="X104" s="424"/>
      <c r="Y104" s="424"/>
      <c r="Z104" s="424"/>
      <c r="AA104" s="1173"/>
      <c r="AB104" s="424"/>
      <c r="AC104" s="424"/>
      <c r="AD104" s="424"/>
      <c r="AE104" s="424"/>
      <c r="AF104" s="1173"/>
      <c r="AG104" s="424"/>
      <c r="AH104" s="424"/>
      <c r="AI104" s="424"/>
      <c r="AJ104" s="424"/>
      <c r="AK104" s="1173"/>
      <c r="AL104" s="424"/>
      <c r="AM104" s="424"/>
      <c r="AN104" s="424"/>
      <c r="AO104" s="424"/>
      <c r="AP104" s="1173"/>
      <c r="AQ104" s="424"/>
      <c r="AR104" s="424"/>
      <c r="AS104" s="424"/>
      <c r="AT104" s="424"/>
      <c r="AU104" s="1173"/>
      <c r="AV104" s="424"/>
      <c r="AW104" s="424"/>
      <c r="AX104" s="424"/>
      <c r="AY104" s="424"/>
      <c r="AZ104" s="1173"/>
      <c r="BA104" s="424"/>
      <c r="BB104" s="424"/>
      <c r="BC104" s="424"/>
      <c r="BD104" s="424"/>
      <c r="BE104" s="1173"/>
      <c r="BF104" s="424"/>
      <c r="BG104" s="424"/>
      <c r="BH104" s="884"/>
      <c r="BI104" s="410"/>
      <c r="BJ104" s="1174"/>
      <c r="BK104" s="410"/>
      <c r="BL104" s="410"/>
      <c r="BM104" s="410"/>
      <c r="BN104" s="410"/>
      <c r="BO104" s="1174"/>
      <c r="BP104" s="1173"/>
      <c r="BQ104" s="1173"/>
      <c r="BR104" s="1174"/>
      <c r="BS104" s="29"/>
    </row>
    <row r="105" spans="1:71" s="671" customFormat="1" ht="15">
      <c r="A105" s="623" t="s">
        <v>550</v>
      </c>
      <c r="B105" s="493"/>
      <c r="C105" s="1163"/>
      <c r="D105" s="1163"/>
      <c r="E105" s="1163">
        <f t="shared" si="275" ref="E105:AU105">E44/E36</f>
        <v>0</v>
      </c>
      <c r="F105" s="1163">
        <f t="shared" si="275"/>
        <v>0.73858046380885456</v>
      </c>
      <c r="G105" s="1163">
        <f t="shared" si="275"/>
        <v>0.73372781065088755</v>
      </c>
      <c r="H105" s="494">
        <f t="shared" si="275"/>
        <v>0.65116279069767447</v>
      </c>
      <c r="I105" s="494">
        <f t="shared" si="275"/>
        <v>0.6728395061728395</v>
      </c>
      <c r="J105" s="494">
        <f t="shared" si="275"/>
        <v>0.81547619047619047</v>
      </c>
      <c r="K105" s="494">
        <f t="shared" si="275"/>
        <v>0.70843373493975903</v>
      </c>
      <c r="L105" s="1163">
        <f t="shared" si="275"/>
        <v>0.72474093264248707</v>
      </c>
      <c r="M105" s="494">
        <f t="shared" si="275"/>
        <v>0.65175718849840258</v>
      </c>
      <c r="N105" s="494">
        <f t="shared" si="275"/>
        <v>0.6941896024464832</v>
      </c>
      <c r="O105" s="494">
        <f t="shared" si="275"/>
        <v>0.74661508704061896</v>
      </c>
      <c r="P105" s="494">
        <f t="shared" si="275"/>
        <v>0.69230769230769229</v>
      </c>
      <c r="Q105" s="1163">
        <f t="shared" si="275"/>
        <v>0.70231394621638521</v>
      </c>
      <c r="R105" s="494">
        <f t="shared" si="275"/>
        <v>0.65486725663716816</v>
      </c>
      <c r="S105" s="494">
        <f t="shared" si="275"/>
        <v>0.67123287671232879</v>
      </c>
      <c r="T105" s="494">
        <f t="shared" si="275"/>
        <v>0.68356997971602429</v>
      </c>
      <c r="U105" s="494">
        <f t="shared" si="275"/>
        <v>0.64516129032258063</v>
      </c>
      <c r="V105" s="1163">
        <f t="shared" si="275"/>
        <v>0.66425992779783394</v>
      </c>
      <c r="W105" s="494">
        <f t="shared" si="275"/>
        <v>0.64327485380116955</v>
      </c>
      <c r="X105" s="494">
        <f t="shared" si="275"/>
        <v>0.64985994397759106</v>
      </c>
      <c r="Y105" s="494">
        <f t="shared" si="275"/>
        <v>0.74383301707779881</v>
      </c>
      <c r="Z105" s="494">
        <f t="shared" si="275"/>
        <v>0.68453608247422681</v>
      </c>
      <c r="AA105" s="1163">
        <f t="shared" si="275"/>
        <v>0.6873173582700175</v>
      </c>
      <c r="AB105" s="494">
        <f t="shared" si="275"/>
        <v>0.6657142857142857</v>
      </c>
      <c r="AC105" s="494">
        <f t="shared" si="275"/>
        <v>0.66844919786096257</v>
      </c>
      <c r="AD105" s="494">
        <f t="shared" si="275"/>
        <v>0.75665399239543729</v>
      </c>
      <c r="AE105" s="494">
        <f t="shared" si="275"/>
        <v>0.69937369519832981</v>
      </c>
      <c r="AF105" s="1163">
        <f t="shared" si="275"/>
        <v>0.70329670329670335</v>
      </c>
      <c r="AG105" s="494">
        <f t="shared" si="275"/>
        <v>0.67036011080332414</v>
      </c>
      <c r="AH105" s="494">
        <f t="shared" si="275"/>
        <v>0.67810026385224276</v>
      </c>
      <c r="AI105" s="494">
        <f t="shared" si="275"/>
        <v>0.73756432246998282</v>
      </c>
      <c r="AJ105" s="494">
        <f t="shared" si="275"/>
        <v>0.79801980198019806</v>
      </c>
      <c r="AK105" s="1163">
        <f t="shared" si="275"/>
        <v>0.7286652078774617</v>
      </c>
      <c r="AL105" s="494">
        <f t="shared" si="275"/>
        <v>0.65544041450777202</v>
      </c>
      <c r="AM105" s="494">
        <f t="shared" si="275"/>
        <v>0.63846153846153841</v>
      </c>
      <c r="AN105" s="494">
        <f t="shared" si="275"/>
        <v>0.7142857142857143</v>
      </c>
      <c r="AO105" s="494">
        <f t="shared" si="275"/>
        <v>0.66986564299424189</v>
      </c>
      <c r="AP105" s="1163">
        <f t="shared" si="275"/>
        <v>0.67397113842864775</v>
      </c>
      <c r="AQ105" s="494">
        <f t="shared" si="275"/>
        <v>0.63451776649746194</v>
      </c>
      <c r="AR105" s="494">
        <f t="shared" si="275"/>
        <v>0.6556291390728477</v>
      </c>
      <c r="AS105" s="494">
        <f t="shared" si="275"/>
        <v>0.74285714285714288</v>
      </c>
      <c r="AT105" s="494">
        <f t="shared" si="275"/>
        <v>0.63819095477386933</v>
      </c>
      <c r="AU105" s="1163">
        <f t="shared" si="275"/>
        <v>0.67537313432835822</v>
      </c>
      <c r="AV105" s="494">
        <f t="shared" si="276" ref="AV105:BA105">AV44/AV36</f>
        <v>0.64108352144469527</v>
      </c>
      <c r="AW105" s="494">
        <f t="shared" si="276"/>
        <v>0.66930693069306935</v>
      </c>
      <c r="AX105" s="494">
        <f t="shared" si="276"/>
        <v>0.77596266044340723</v>
      </c>
      <c r="AY105" s="494">
        <f t="shared" si="276"/>
        <v>0.72580645161290325</v>
      </c>
      <c r="AZ105" s="1163">
        <f t="shared" si="276"/>
        <v>0.71652593486127869</v>
      </c>
      <c r="BA105" s="494">
        <f t="shared" si="276"/>
        <v>0.64631578947368418</v>
      </c>
      <c r="BB105" s="494">
        <f t="shared" si="277" ref="BB105:BG105">BB44/BB36</f>
        <v>0.65917602996254676</v>
      </c>
      <c r="BC105" s="494">
        <f t="shared" si="277"/>
        <v>0.76811594202898548</v>
      </c>
      <c r="BD105" s="494">
        <f t="shared" si="277"/>
        <v>0.69941348973607043</v>
      </c>
      <c r="BE105" s="1163">
        <f t="shared" si="277"/>
        <v>0.70345375148868594</v>
      </c>
      <c r="BF105" s="494">
        <f t="shared" si="277"/>
        <v>0.66081871345029242</v>
      </c>
      <c r="BG105" s="494">
        <f t="shared" si="277"/>
        <v>0.67771639042357279</v>
      </c>
      <c r="BH105" s="866">
        <f>BH44/BH36</f>
        <v>0.77268093781855252</v>
      </c>
      <c r="BI105" s="1053">
        <v>0.70</v>
      </c>
      <c r="BJ105" s="1165">
        <f>BJ44/BJ36</f>
        <v>0.71548784861424153</v>
      </c>
      <c r="BK105" s="1053">
        <v>0.55000000000000004</v>
      </c>
      <c r="BL105" s="1053">
        <v>0.64</v>
      </c>
      <c r="BM105" s="1053">
        <v>0.64</v>
      </c>
      <c r="BN105" s="1053">
        <v>0.50</v>
      </c>
      <c r="BO105" s="1165">
        <f>BO44/BO36</f>
        <v>0.59079723885952062</v>
      </c>
      <c r="BP105" s="1166">
        <v>0.64</v>
      </c>
      <c r="BQ105" s="1166">
        <v>0.64</v>
      </c>
      <c r="BR105" s="1167">
        <v>0.64</v>
      </c>
      <c r="BS105" s="27"/>
    </row>
    <row r="106" spans="1:71" s="671" customFormat="1" ht="15">
      <c r="A106" s="623" t="s">
        <v>551</v>
      </c>
      <c r="B106" s="493"/>
      <c r="C106" s="1163"/>
      <c r="D106" s="1163"/>
      <c r="E106" s="1163">
        <f t="shared" si="278" ref="E106:AU106">E45/E36</f>
        <v>0</v>
      </c>
      <c r="F106" s="1163">
        <f t="shared" si="278"/>
        <v>0.018973998594518624</v>
      </c>
      <c r="G106" s="1163">
        <f t="shared" si="278"/>
        <v>0.017751479289940829</v>
      </c>
      <c r="H106" s="494">
        <f t="shared" si="278"/>
        <v>0.029900332225913623</v>
      </c>
      <c r="I106" s="494">
        <f t="shared" si="278"/>
        <v>0.024691358024691357</v>
      </c>
      <c r="J106" s="494">
        <f t="shared" si="278"/>
        <v>0.001984126984126984</v>
      </c>
      <c r="K106" s="494">
        <f t="shared" si="278"/>
        <v>0.0048192771084337354</v>
      </c>
      <c r="L106" s="1163">
        <f t="shared" si="278"/>
        <v>0.012953367875647668</v>
      </c>
      <c r="M106" s="494">
        <f t="shared" si="278"/>
        <v>0.012779552715654952</v>
      </c>
      <c r="N106" s="494">
        <f t="shared" si="278"/>
        <v>0.021406727828746176</v>
      </c>
      <c r="O106" s="494">
        <f t="shared" si="278"/>
        <v>0.013539651837524178</v>
      </c>
      <c r="P106" s="494">
        <f t="shared" si="278"/>
        <v>0.0067873303167420816</v>
      </c>
      <c r="Q106" s="1163">
        <f t="shared" si="278"/>
        <v>0.013133208255159476</v>
      </c>
      <c r="R106" s="494">
        <f t="shared" si="278"/>
        <v>0.017699115044247787</v>
      </c>
      <c r="S106" s="494">
        <f t="shared" si="278"/>
        <v>0.03287671232876712</v>
      </c>
      <c r="T106" s="494">
        <f t="shared" si="278"/>
        <v>0.014198782961460446</v>
      </c>
      <c r="U106" s="494">
        <f t="shared" si="278"/>
        <v>0.012903225806451613</v>
      </c>
      <c r="V106" s="1163">
        <f t="shared" si="278"/>
        <v>0.018652226233453671</v>
      </c>
      <c r="W106" s="494">
        <f t="shared" si="278"/>
        <v>0.014619883040935672</v>
      </c>
      <c r="X106" s="494">
        <f t="shared" si="278"/>
        <v>0.03081232492997199</v>
      </c>
      <c r="Y106" s="494">
        <f t="shared" si="278"/>
        <v>0.043643263757115747</v>
      </c>
      <c r="Z106" s="494">
        <f t="shared" si="278"/>
        <v>-0.0061855670103092781</v>
      </c>
      <c r="AA106" s="1163">
        <f t="shared" si="278"/>
        <v>0.021040327293980129</v>
      </c>
      <c r="AB106" s="494">
        <f t="shared" si="278"/>
        <v>0.014285714285714285</v>
      </c>
      <c r="AC106" s="494">
        <f t="shared" si="278"/>
        <v>0.026737967914438502</v>
      </c>
      <c r="AD106" s="494">
        <f t="shared" si="278"/>
        <v>0.022813688212927757</v>
      </c>
      <c r="AE106" s="494">
        <f t="shared" si="278"/>
        <v>-0.0020876826722338203</v>
      </c>
      <c r="AF106" s="1163">
        <f t="shared" si="278"/>
        <v>0.015037593984962405</v>
      </c>
      <c r="AG106" s="494">
        <f t="shared" si="278"/>
        <v>0.024930747922437674</v>
      </c>
      <c r="AH106" s="494">
        <f t="shared" si="278"/>
        <v>0.021108179419525065</v>
      </c>
      <c r="AI106" s="494">
        <f t="shared" si="278"/>
        <v>0.013722126929674099</v>
      </c>
      <c r="AJ106" s="494">
        <f t="shared" si="278"/>
        <v>0.013861386138613862</v>
      </c>
      <c r="AK106" s="1163">
        <f t="shared" si="278"/>
        <v>0.017505470459518599</v>
      </c>
      <c r="AL106" s="494">
        <f t="shared" si="278"/>
        <v>0.02072538860103627</v>
      </c>
      <c r="AM106" s="494">
        <f t="shared" si="278"/>
        <v>0.046153846153846156</v>
      </c>
      <c r="AN106" s="494">
        <f t="shared" si="278"/>
        <v>0.033101045296167246</v>
      </c>
      <c r="AO106" s="494">
        <f t="shared" si="278"/>
        <v>0.017274472168905951</v>
      </c>
      <c r="AP106" s="1163">
        <f t="shared" si="278"/>
        <v>0.028861571352218066</v>
      </c>
      <c r="AQ106" s="494">
        <f t="shared" si="278"/>
        <v>0.03553299492385787</v>
      </c>
      <c r="AR106" s="494">
        <f t="shared" si="278"/>
        <v>0.013245033112582781</v>
      </c>
      <c r="AS106" s="494">
        <f t="shared" si="278"/>
        <v>0.02</v>
      </c>
      <c r="AT106" s="494">
        <f t="shared" si="278"/>
        <v>0.025125628140703519</v>
      </c>
      <c r="AU106" s="1163">
        <f t="shared" si="278"/>
        <v>0.022854477611940299</v>
      </c>
      <c r="AV106" s="494">
        <f t="shared" si="279" ref="AV106:BA106">AV45/AV36</f>
        <v>0.013544018058690745</v>
      </c>
      <c r="AW106" s="494">
        <f t="shared" si="279"/>
        <v>0.037623762376237622</v>
      </c>
      <c r="AX106" s="494">
        <f t="shared" si="279"/>
        <v>0.015169194865810968</v>
      </c>
      <c r="AY106" s="494">
        <f t="shared" si="279"/>
        <v>0.010263929618768328</v>
      </c>
      <c r="AZ106" s="1163">
        <f t="shared" si="279"/>
        <v>0.018094089264173704</v>
      </c>
      <c r="BA106" s="494">
        <f t="shared" si="279"/>
        <v>0.04</v>
      </c>
      <c r="BB106" s="494">
        <f t="shared" si="280" ref="BB106:BG106">BB45/BB36</f>
        <v>0.028089887640449437</v>
      </c>
      <c r="BC106" s="494">
        <f t="shared" si="280"/>
        <v>0.016908212560386472</v>
      </c>
      <c r="BD106" s="494">
        <f t="shared" si="280"/>
        <v>0.007331378299120235</v>
      </c>
      <c r="BE106" s="1163">
        <f t="shared" si="280"/>
        <v>0.021040095275903135</v>
      </c>
      <c r="BF106" s="494">
        <f t="shared" si="280"/>
        <v>0.015594541910331383</v>
      </c>
      <c r="BG106" s="494">
        <f t="shared" si="280"/>
        <v>0.023941068139963169</v>
      </c>
      <c r="BH106" s="866">
        <f>BH45/BH36</f>
        <v>0.034658511722731905</v>
      </c>
      <c r="BI106" s="1053">
        <v>0</v>
      </c>
      <c r="BJ106" s="1165">
        <f>BJ45/BJ36</f>
        <v>0.021785976311593014</v>
      </c>
      <c r="BK106" s="1053">
        <v>0</v>
      </c>
      <c r="BL106" s="1053">
        <v>0</v>
      </c>
      <c r="BM106" s="1053">
        <v>0</v>
      </c>
      <c r="BN106" s="1053">
        <v>0</v>
      </c>
      <c r="BO106" s="1165">
        <f>BO45/BO36</f>
        <v>0</v>
      </c>
      <c r="BP106" s="1166">
        <v>0</v>
      </c>
      <c r="BQ106" s="1166">
        <v>0</v>
      </c>
      <c r="BR106" s="1167">
        <v>0</v>
      </c>
      <c r="BS106" s="27"/>
    </row>
    <row r="107" spans="1:71" s="671" customFormat="1" ht="15">
      <c r="A107" s="615" t="s">
        <v>552</v>
      </c>
      <c r="B107" s="619"/>
      <c r="C107" s="1175"/>
      <c r="D107" s="1175"/>
      <c r="E107" s="1175">
        <f t="shared" si="281" ref="E107:AU107">E46/E36</f>
        <v>0</v>
      </c>
      <c r="F107" s="1175">
        <f t="shared" si="281"/>
        <v>0.75755446240337321</v>
      </c>
      <c r="G107" s="1175">
        <f t="shared" si="281"/>
        <v>0.75147928994082835</v>
      </c>
      <c r="H107" s="621">
        <f t="shared" si="281"/>
        <v>0.68106312292358806</v>
      </c>
      <c r="I107" s="621">
        <f t="shared" si="281"/>
        <v>0.69753086419753085</v>
      </c>
      <c r="J107" s="621">
        <f t="shared" si="281"/>
        <v>0.81746031746031744</v>
      </c>
      <c r="K107" s="621">
        <f t="shared" si="281"/>
        <v>0.7132530120481928</v>
      </c>
      <c r="L107" s="1175">
        <f t="shared" si="281"/>
        <v>0.73769430051813467</v>
      </c>
      <c r="M107" s="621">
        <f t="shared" si="281"/>
        <v>0.66453674121405748</v>
      </c>
      <c r="N107" s="621">
        <f t="shared" si="281"/>
        <v>0.7155963302752294</v>
      </c>
      <c r="O107" s="621">
        <f t="shared" si="281"/>
        <v>0.76015473887814311</v>
      </c>
      <c r="P107" s="621">
        <f t="shared" si="281"/>
        <v>0.69909502262443435</v>
      </c>
      <c r="Q107" s="1175">
        <f t="shared" si="281"/>
        <v>0.71544715447154472</v>
      </c>
      <c r="R107" s="621">
        <f t="shared" si="281"/>
        <v>0.67256637168141598</v>
      </c>
      <c r="S107" s="621">
        <f t="shared" si="281"/>
        <v>0.70410958904109588</v>
      </c>
      <c r="T107" s="621">
        <f t="shared" si="281"/>
        <v>0.69776876267748478</v>
      </c>
      <c r="U107" s="621">
        <f t="shared" si="281"/>
        <v>0.65806451612903227</v>
      </c>
      <c r="V107" s="1175">
        <f t="shared" si="281"/>
        <v>0.68291215403128758</v>
      </c>
      <c r="W107" s="621">
        <f t="shared" si="281"/>
        <v>0.65789473684210531</v>
      </c>
      <c r="X107" s="621">
        <f t="shared" si="281"/>
        <v>0.68067226890756305</v>
      </c>
      <c r="Y107" s="621">
        <f t="shared" si="281"/>
        <v>0.78747628083491461</v>
      </c>
      <c r="Z107" s="621">
        <f t="shared" si="281"/>
        <v>0.67835051546391756</v>
      </c>
      <c r="AA107" s="1175">
        <f t="shared" si="281"/>
        <v>0.7083576855639977</v>
      </c>
      <c r="AB107" s="621">
        <f t="shared" si="281"/>
        <v>0.68</v>
      </c>
      <c r="AC107" s="621">
        <f t="shared" si="281"/>
        <v>0.69518716577540107</v>
      </c>
      <c r="AD107" s="621">
        <f t="shared" si="281"/>
        <v>0.77946768060836502</v>
      </c>
      <c r="AE107" s="621">
        <f t="shared" si="281"/>
        <v>0.69728601252609601</v>
      </c>
      <c r="AF107" s="1175">
        <f t="shared" si="281"/>
        <v>0.71833429728166576</v>
      </c>
      <c r="AG107" s="621">
        <f t="shared" si="281"/>
        <v>0.6952908587257618</v>
      </c>
      <c r="AH107" s="621">
        <f t="shared" si="281"/>
        <v>0.69920844327176779</v>
      </c>
      <c r="AI107" s="621">
        <f t="shared" si="281"/>
        <v>0.75128644939965694</v>
      </c>
      <c r="AJ107" s="621">
        <f t="shared" si="281"/>
        <v>0.81188118811881194</v>
      </c>
      <c r="AK107" s="1175">
        <f t="shared" si="281"/>
        <v>0.74617067833698025</v>
      </c>
      <c r="AL107" s="621">
        <f t="shared" si="281"/>
        <v>0.67616580310880825</v>
      </c>
      <c r="AM107" s="621">
        <f t="shared" si="281"/>
        <v>0.68461538461538463</v>
      </c>
      <c r="AN107" s="621">
        <f t="shared" si="281"/>
        <v>0.7473867595818815</v>
      </c>
      <c r="AO107" s="621">
        <f t="shared" si="281"/>
        <v>0.68714011516314777</v>
      </c>
      <c r="AP107" s="1175">
        <f t="shared" si="281"/>
        <v>0.70283270978086587</v>
      </c>
      <c r="AQ107" s="621">
        <f t="shared" si="281"/>
        <v>0.67005076142131981</v>
      </c>
      <c r="AR107" s="621">
        <f t="shared" si="281"/>
        <v>0.66887417218543044</v>
      </c>
      <c r="AS107" s="621">
        <f t="shared" si="281"/>
        <v>0.7628571428571429</v>
      </c>
      <c r="AT107" s="621">
        <f t="shared" si="281"/>
        <v>0.66331658291457285</v>
      </c>
      <c r="AU107" s="1175">
        <f t="shared" si="281"/>
        <v>0.69822761194029848</v>
      </c>
      <c r="AV107" s="621">
        <f t="shared" si="282" ref="AV107:AZ107">AV46/AV36</f>
        <v>0.65462753950338604</v>
      </c>
      <c r="AW107" s="621">
        <f t="shared" si="282"/>
        <v>0.70693069306930689</v>
      </c>
      <c r="AX107" s="621">
        <f t="shared" si="282"/>
        <v>0.79113185530921826</v>
      </c>
      <c r="AY107" s="621">
        <f t="shared" si="282"/>
        <v>0.73607038123167157</v>
      </c>
      <c r="AZ107" s="1175">
        <f t="shared" si="282"/>
        <v>0.73462002412545235</v>
      </c>
      <c r="BA107" s="621">
        <f t="shared" si="283" ref="BA107:BR107">BA46/BA36</f>
        <v>0.68631578947368421</v>
      </c>
      <c r="BB107" s="621">
        <f t="shared" si="283"/>
        <v>0.68726591760299627</v>
      </c>
      <c r="BC107" s="621">
        <f t="shared" si="283"/>
        <v>0.78502415458937203</v>
      </c>
      <c r="BD107" s="621">
        <f t="shared" si="283"/>
        <v>0.70674486803519065</v>
      </c>
      <c r="BE107" s="1175">
        <f t="shared" si="283"/>
        <v>0.72449384676458917</v>
      </c>
      <c r="BF107" s="621">
        <f>BF46/BF36</f>
        <v>0.6764132553606238</v>
      </c>
      <c r="BG107" s="621">
        <f>BG46/BG36</f>
        <v>0.7016574585635359</v>
      </c>
      <c r="BH107" s="885">
        <f>BH46/BH36</f>
        <v>0.80733944954128445</v>
      </c>
      <c r="BI107" s="621">
        <f t="shared" si="283"/>
        <v>0.70</v>
      </c>
      <c r="BJ107" s="1175">
        <f t="shared" si="283"/>
        <v>0.73727382492583449</v>
      </c>
      <c r="BK107" s="621">
        <f t="shared" si="283"/>
        <v>0.55000000000000004</v>
      </c>
      <c r="BL107" s="621">
        <f t="shared" si="283"/>
        <v>0.64</v>
      </c>
      <c r="BM107" s="621">
        <f t="shared" si="283"/>
        <v>0.64</v>
      </c>
      <c r="BN107" s="621">
        <f t="shared" si="283"/>
        <v>0.50</v>
      </c>
      <c r="BO107" s="1175">
        <f t="shared" si="283"/>
        <v>0.59079723885952062</v>
      </c>
      <c r="BP107" s="1175">
        <f t="shared" si="283"/>
        <v>0.64</v>
      </c>
      <c r="BQ107" s="1175">
        <f t="shared" si="283"/>
        <v>0.64</v>
      </c>
      <c r="BR107" s="1175">
        <f t="shared" si="283"/>
        <v>0.64</v>
      </c>
      <c r="BS107" s="27"/>
    </row>
    <row r="108" spans="1:71" s="671" customFormat="1" ht="15">
      <c r="A108" s="480" t="s">
        <v>553</v>
      </c>
      <c r="B108" s="493"/>
      <c r="C108" s="1163"/>
      <c r="D108" s="1163"/>
      <c r="E108" s="1163">
        <f t="shared" si="284" ref="E108:AU108">E47/E36</f>
        <v>0</v>
      </c>
      <c r="F108" s="1163">
        <f t="shared" si="284"/>
        <v>-0.011243851018973999</v>
      </c>
      <c r="G108" s="1163">
        <f t="shared" si="284"/>
        <v>-0.00065746219592373442</v>
      </c>
      <c r="H108" s="494">
        <f t="shared" si="284"/>
        <v>-0.013289036544850499</v>
      </c>
      <c r="I108" s="494">
        <f t="shared" si="284"/>
        <v>0.067901234567901231</v>
      </c>
      <c r="J108" s="494">
        <f t="shared" si="284"/>
        <v>-0.0099206349206349201</v>
      </c>
      <c r="K108" s="494">
        <f t="shared" si="284"/>
        <v>0.0072289156626506026</v>
      </c>
      <c r="L108" s="1163">
        <f t="shared" si="284"/>
        <v>0.010362694300518135</v>
      </c>
      <c r="M108" s="494">
        <f t="shared" si="284"/>
        <v>0.0095846645367412137</v>
      </c>
      <c r="N108" s="494">
        <f t="shared" si="284"/>
        <v>0.01834862385321101</v>
      </c>
      <c r="O108" s="494">
        <f t="shared" si="284"/>
        <v>-0.0038684719535783366</v>
      </c>
      <c r="P108" s="494">
        <f t="shared" si="284"/>
        <v>0.018099547511312219</v>
      </c>
      <c r="Q108" s="1163">
        <f t="shared" si="284"/>
        <v>0.0093808630393996256</v>
      </c>
      <c r="R108" s="494">
        <f t="shared" si="284"/>
        <v>-0.050147492625368731</v>
      </c>
      <c r="S108" s="494">
        <f t="shared" si="284"/>
        <v>-0.03287671232876712</v>
      </c>
      <c r="T108" s="494">
        <f t="shared" si="284"/>
        <v>-0.010141987829614604</v>
      </c>
      <c r="U108" s="494">
        <f t="shared" si="284"/>
        <v>0.027956989247311829</v>
      </c>
      <c r="V108" s="1163">
        <f t="shared" si="284"/>
        <v>-0.01263537906137184</v>
      </c>
      <c r="W108" s="494">
        <f t="shared" si="284"/>
        <v>-0.049707602339181284</v>
      </c>
      <c r="X108" s="494">
        <f t="shared" si="284"/>
        <v>-0.03081232492997199</v>
      </c>
      <c r="Y108" s="494">
        <f t="shared" si="284"/>
        <v>-0.015180265654648957</v>
      </c>
      <c r="Z108" s="494">
        <f t="shared" si="284"/>
        <v>-0.0082474226804123713</v>
      </c>
      <c r="AA108" s="1163">
        <f t="shared" si="284"/>
        <v>-0.023378141437755698</v>
      </c>
      <c r="AB108" s="494">
        <f t="shared" si="284"/>
        <v>-0.051428571428571428</v>
      </c>
      <c r="AC108" s="494">
        <f t="shared" si="284"/>
        <v>-0.056149732620320858</v>
      </c>
      <c r="AD108" s="494">
        <f t="shared" si="284"/>
        <v>-0.0076045627376425855</v>
      </c>
      <c r="AE108" s="494">
        <f t="shared" si="284"/>
        <v>-0.014613778705636743</v>
      </c>
      <c r="AF108" s="1163">
        <f t="shared" si="284"/>
        <v>-0.028918449971081551</v>
      </c>
      <c r="AG108" s="494">
        <f t="shared" si="284"/>
        <v>-0.072022160664819951</v>
      </c>
      <c r="AH108" s="494">
        <f t="shared" si="284"/>
        <v>-0.015831134564643801</v>
      </c>
      <c r="AI108" s="494">
        <f t="shared" si="284"/>
        <v>-0.029159519725557463</v>
      </c>
      <c r="AJ108" s="494">
        <f t="shared" si="284"/>
        <v>-0.035643564356435641</v>
      </c>
      <c r="AK108" s="1163">
        <f t="shared" si="284"/>
        <v>-0.03665207877461707</v>
      </c>
      <c r="AL108" s="494">
        <f t="shared" si="284"/>
        <v>-0.062176165803108807</v>
      </c>
      <c r="AM108" s="494">
        <f t="shared" si="284"/>
        <v>-0.07179487179487179</v>
      </c>
      <c r="AN108" s="494">
        <f t="shared" si="284"/>
        <v>-0.045296167247386762</v>
      </c>
      <c r="AO108" s="494">
        <f t="shared" si="284"/>
        <v>-0.055662188099808059</v>
      </c>
      <c r="AP108" s="1163">
        <f t="shared" si="284"/>
        <v>-0.057188669160876539</v>
      </c>
      <c r="AQ108" s="494">
        <f t="shared" si="284"/>
        <v>-0.10913705583756345</v>
      </c>
      <c r="AR108" s="494">
        <f t="shared" si="284"/>
        <v>-0.088300220750551883</v>
      </c>
      <c r="AS108" s="494">
        <f t="shared" si="284"/>
        <v>-0.025714285714285714</v>
      </c>
      <c r="AT108" s="494">
        <f t="shared" si="284"/>
        <v>-0.0033500837520938024</v>
      </c>
      <c r="AU108" s="1163">
        <f t="shared" si="284"/>
        <v>-0.048041044776119403</v>
      </c>
      <c r="AV108" s="494">
        <f t="shared" si="285" ref="AV108:BA108">AV47/AV36</f>
        <v>-0.076749435665914217</v>
      </c>
      <c r="AW108" s="494">
        <f t="shared" si="285"/>
        <v>-0.059405940594059403</v>
      </c>
      <c r="AX108" s="494">
        <f t="shared" si="285"/>
        <v>-0.017502917152858809</v>
      </c>
      <c r="AY108" s="494">
        <f t="shared" si="285"/>
        <v>-0.01906158357771261</v>
      </c>
      <c r="AZ108" s="1163">
        <f t="shared" si="285"/>
        <v>-0.036992360273421794</v>
      </c>
      <c r="BA108" s="494">
        <f t="shared" si="285"/>
        <v>-0.077894736842105267</v>
      </c>
      <c r="BB108" s="494">
        <f t="shared" si="286" ref="BB108:BG108">BB47/BB36</f>
        <v>-0.039325842696629212</v>
      </c>
      <c r="BC108" s="494">
        <f t="shared" si="286"/>
        <v>-0.016908212560386472</v>
      </c>
      <c r="BD108" s="494">
        <f t="shared" si="286"/>
        <v>-0.017595307917888565</v>
      </c>
      <c r="BE108" s="1163">
        <f t="shared" si="286"/>
        <v>-0.0333465660976578</v>
      </c>
      <c r="BF108" s="494">
        <f t="shared" si="286"/>
        <v>-0.083820662768031184</v>
      </c>
      <c r="BG108" s="494">
        <f t="shared" si="286"/>
        <v>-0.060773480662983423</v>
      </c>
      <c r="BH108" s="866">
        <f>BH47/BH36</f>
        <v>-0.015290519877675841</v>
      </c>
      <c r="BI108" s="1053">
        <v>0</v>
      </c>
      <c r="BJ108" s="1165">
        <f>BJ47/BJ36</f>
        <v>-0.036045888079181174</v>
      </c>
      <c r="BK108" s="1053">
        <v>0</v>
      </c>
      <c r="BL108" s="1053">
        <v>0</v>
      </c>
      <c r="BM108" s="1053">
        <v>0</v>
      </c>
      <c r="BN108" s="1053">
        <v>0</v>
      </c>
      <c r="BO108" s="1165">
        <f>BO47/BO36</f>
        <v>0</v>
      </c>
      <c r="BP108" s="1166">
        <v>0</v>
      </c>
      <c r="BQ108" s="1166">
        <v>0</v>
      </c>
      <c r="BR108" s="1167">
        <v>0</v>
      </c>
      <c r="BS108" s="27"/>
    </row>
    <row r="109" spans="1:71" s="671" customFormat="1" ht="15">
      <c r="A109" s="622" t="s">
        <v>89</v>
      </c>
      <c r="B109" s="619"/>
      <c r="C109" s="1175"/>
      <c r="D109" s="1175"/>
      <c r="E109" s="1175">
        <f t="shared" si="287" ref="E109:AK109">E48/E36</f>
        <v>0.69830028328611893</v>
      </c>
      <c r="F109" s="1175">
        <f t="shared" si="287"/>
        <v>0.74631061138439914</v>
      </c>
      <c r="G109" s="1175">
        <f t="shared" si="287"/>
        <v>0.75082182774490469</v>
      </c>
      <c r="H109" s="621">
        <f t="shared" si="287"/>
        <v>0.66777408637873759</v>
      </c>
      <c r="I109" s="621">
        <f t="shared" si="287"/>
        <v>0.76543209876543206</v>
      </c>
      <c r="J109" s="621">
        <f t="shared" si="287"/>
        <v>0.80753968253968256</v>
      </c>
      <c r="K109" s="621">
        <f t="shared" si="287"/>
        <v>0.72048192771084341</v>
      </c>
      <c r="L109" s="1175">
        <f t="shared" si="287"/>
        <v>0.74805699481865284</v>
      </c>
      <c r="M109" s="621">
        <f t="shared" si="287"/>
        <v>0.67412140575079871</v>
      </c>
      <c r="N109" s="621">
        <f t="shared" si="287"/>
        <v>0.73394495412844041</v>
      </c>
      <c r="O109" s="621">
        <f t="shared" si="287"/>
        <v>0.7562862669245648</v>
      </c>
      <c r="P109" s="621">
        <f t="shared" si="287"/>
        <v>0.71719457013574661</v>
      </c>
      <c r="Q109" s="1175">
        <f t="shared" si="287"/>
        <v>0.72482801751094439</v>
      </c>
      <c r="R109" s="621">
        <f t="shared" si="287"/>
        <v>0.6224188790560472</v>
      </c>
      <c r="S109" s="621">
        <f t="shared" si="287"/>
        <v>0.67123287671232879</v>
      </c>
      <c r="T109" s="621">
        <f t="shared" si="287"/>
        <v>0.68762677484787016</v>
      </c>
      <c r="U109" s="621">
        <f t="shared" si="287"/>
        <v>0.6860215053763441</v>
      </c>
      <c r="V109" s="1175">
        <f t="shared" si="287"/>
        <v>0.67027677496991578</v>
      </c>
      <c r="W109" s="621">
        <f t="shared" si="287"/>
        <v>0.60818713450292394</v>
      </c>
      <c r="X109" s="621">
        <f t="shared" si="287"/>
        <v>0.64985994397759106</v>
      </c>
      <c r="Y109" s="621">
        <f t="shared" si="287"/>
        <v>0.77229601518026569</v>
      </c>
      <c r="Z109" s="621">
        <f t="shared" si="287"/>
        <v>0.67010309278350511</v>
      </c>
      <c r="AA109" s="1175">
        <f t="shared" si="287"/>
        <v>0.68497954412624196</v>
      </c>
      <c r="AB109" s="621">
        <f t="shared" si="287"/>
        <v>0.62857142857142856</v>
      </c>
      <c r="AC109" s="621">
        <f t="shared" si="287"/>
        <v>0.63903743315508021</v>
      </c>
      <c r="AD109" s="621">
        <f t="shared" si="287"/>
        <v>0.77186311787072248</v>
      </c>
      <c r="AE109" s="621">
        <f t="shared" si="287"/>
        <v>0.68267223382045927</v>
      </c>
      <c r="AF109" s="1175">
        <f t="shared" si="287"/>
        <v>0.68941584731058414</v>
      </c>
      <c r="AG109" s="621">
        <f t="shared" si="287"/>
        <v>0.62326869806094187</v>
      </c>
      <c r="AH109" s="621">
        <f t="shared" si="287"/>
        <v>0.68337730870712399</v>
      </c>
      <c r="AI109" s="621">
        <f t="shared" si="287"/>
        <v>0.72212692967409953</v>
      </c>
      <c r="AJ109" s="621">
        <f t="shared" si="287"/>
        <v>0.77623762376237626</v>
      </c>
      <c r="AK109" s="1175">
        <f t="shared" si="287"/>
        <v>0.70951859956236318</v>
      </c>
      <c r="AL109" s="621">
        <f t="shared" si="288" ref="AL109:AU109">AL48/AL36</f>
        <v>0.61398963730569944</v>
      </c>
      <c r="AM109" s="621">
        <f t="shared" si="288"/>
        <v>0.61282051282051286</v>
      </c>
      <c r="AN109" s="621">
        <f t="shared" si="288"/>
        <v>0.70209059233449478</v>
      </c>
      <c r="AO109" s="621">
        <f t="shared" si="288"/>
        <v>0.63147792706333972</v>
      </c>
      <c r="AP109" s="1175">
        <f t="shared" si="288"/>
        <v>0.64564404061998926</v>
      </c>
      <c r="AQ109" s="621">
        <f t="shared" si="288"/>
        <v>0.56091370558375631</v>
      </c>
      <c r="AR109" s="621">
        <f t="shared" si="288"/>
        <v>0.58057395143487855</v>
      </c>
      <c r="AS109" s="621">
        <f t="shared" si="288"/>
        <v>0.7371428571428571</v>
      </c>
      <c r="AT109" s="621">
        <f t="shared" si="288"/>
        <v>0.65996649916247907</v>
      </c>
      <c r="AU109" s="1175">
        <f t="shared" si="288"/>
        <v>0.65018656716417911</v>
      </c>
      <c r="AV109" s="621">
        <f t="shared" si="289" ref="AV109:AX110">AV48/AV36</f>
        <v>0.57787810383747173</v>
      </c>
      <c r="AW109" s="621">
        <f t="shared" si="289"/>
        <v>0.64752475247524754</v>
      </c>
      <c r="AX109" s="621">
        <f t="shared" si="289"/>
        <v>0.77362893815635936</v>
      </c>
      <c r="AY109" s="621">
        <f t="shared" si="290" ref="AY109:AZ109">AY48/AY36</f>
        <v>0.71700879765395897</v>
      </c>
      <c r="AZ109" s="1175">
        <f t="shared" si="290"/>
        <v>0.69762766385203057</v>
      </c>
      <c r="BA109" s="621">
        <f t="shared" si="291" ref="BA109:BC110">BA48/BA36</f>
        <v>0.60842105263157897</v>
      </c>
      <c r="BB109" s="621">
        <f t="shared" si="291"/>
        <v>0.64794007490636707</v>
      </c>
      <c r="BC109" s="621">
        <f t="shared" si="291"/>
        <v>0.76811594202898548</v>
      </c>
      <c r="BD109" s="621">
        <f t="shared" si="292" ref="BD109:BR109">BD48/BD36</f>
        <v>0.68914956011730211</v>
      </c>
      <c r="BE109" s="1175">
        <f t="shared" si="292"/>
        <v>0.69114728066693132</v>
      </c>
      <c r="BF109" s="621">
        <f t="shared" si="293" ref="BF109:BH110">BF48/BF36</f>
        <v>0.59259259259259256</v>
      </c>
      <c r="BG109" s="621">
        <f t="shared" si="293"/>
        <v>0.64088397790055252</v>
      </c>
      <c r="BH109" s="885">
        <f t="shared" si="293"/>
        <v>0.79204892966360851</v>
      </c>
      <c r="BI109" s="621">
        <f t="shared" si="292"/>
        <v>0.70</v>
      </c>
      <c r="BJ109" s="1175">
        <f t="shared" si="292"/>
        <v>0.7012279368466533</v>
      </c>
      <c r="BK109" s="621">
        <f t="shared" si="292"/>
        <v>0.55000000000000004</v>
      </c>
      <c r="BL109" s="621">
        <f t="shared" si="292"/>
        <v>0.64</v>
      </c>
      <c r="BM109" s="621">
        <f t="shared" si="292"/>
        <v>0.64</v>
      </c>
      <c r="BN109" s="621">
        <f t="shared" si="292"/>
        <v>0.50</v>
      </c>
      <c r="BO109" s="1175">
        <f t="shared" si="292"/>
        <v>0.59079723885952062</v>
      </c>
      <c r="BP109" s="1175">
        <f t="shared" si="292"/>
        <v>0.64</v>
      </c>
      <c r="BQ109" s="1175">
        <f t="shared" si="292"/>
        <v>0.64</v>
      </c>
      <c r="BR109" s="1175">
        <f t="shared" si="292"/>
        <v>0.64</v>
      </c>
      <c r="BS109" s="27"/>
    </row>
    <row r="110" spans="1:71" s="671" customFormat="1" ht="15">
      <c r="A110" s="623" t="s">
        <v>557</v>
      </c>
      <c r="B110" s="493"/>
      <c r="C110" s="1163"/>
      <c r="D110" s="1163"/>
      <c r="E110" s="1163">
        <f t="shared" si="294" ref="E110:AU110">E49/E37</f>
        <v>0</v>
      </c>
      <c r="F110" s="1163">
        <f t="shared" si="294"/>
        <v>0.62869198312236285</v>
      </c>
      <c r="G110" s="1163">
        <f t="shared" si="294"/>
        <v>0.60969162995594717</v>
      </c>
      <c r="H110" s="494">
        <f t="shared" si="294"/>
        <v>0.6230031948881789</v>
      </c>
      <c r="I110" s="494">
        <f t="shared" si="294"/>
        <v>0.64882226980728053</v>
      </c>
      <c r="J110" s="494">
        <f t="shared" si="294"/>
        <v>0.62139917695473246</v>
      </c>
      <c r="K110" s="494">
        <f t="shared" si="294"/>
        <v>0.62124248496993983</v>
      </c>
      <c r="L110" s="1163">
        <f t="shared" si="294"/>
        <v>0.62889518413597734</v>
      </c>
      <c r="M110" s="494">
        <f t="shared" si="294"/>
        <v>0.6428571428571429</v>
      </c>
      <c r="N110" s="494">
        <f t="shared" si="294"/>
        <v>0.63021868787276347</v>
      </c>
      <c r="O110" s="494">
        <f t="shared" si="294"/>
        <v>0.63419483101391649</v>
      </c>
      <c r="P110" s="494">
        <f t="shared" si="294"/>
        <v>0.62330097087378644</v>
      </c>
      <c r="Q110" s="1163">
        <f t="shared" si="294"/>
        <v>0.63252113376429642</v>
      </c>
      <c r="R110" s="494">
        <f t="shared" si="294"/>
        <v>0.62948207171314741</v>
      </c>
      <c r="S110" s="494">
        <f t="shared" si="294"/>
        <v>0.676056338028169</v>
      </c>
      <c r="T110" s="494">
        <f t="shared" si="294"/>
        <v>0.66398390342052316</v>
      </c>
      <c r="U110" s="494">
        <f t="shared" si="294"/>
        <v>0.66862745098039211</v>
      </c>
      <c r="V110" s="1163">
        <f t="shared" si="294"/>
        <v>0.65952143569292121</v>
      </c>
      <c r="W110" s="494">
        <f t="shared" si="294"/>
        <v>0.66141732283464572</v>
      </c>
      <c r="X110" s="494">
        <f t="shared" si="294"/>
        <v>0.63687150837988826</v>
      </c>
      <c r="Y110" s="494">
        <f t="shared" si="294"/>
        <v>0.653169014084507</v>
      </c>
      <c r="Z110" s="494">
        <f t="shared" si="294"/>
        <v>0.65619546247818494</v>
      </c>
      <c r="AA110" s="1163">
        <f t="shared" si="294"/>
        <v>0.65187557182067701</v>
      </c>
      <c r="AB110" s="494">
        <f t="shared" si="294"/>
        <v>0.64766839378238339</v>
      </c>
      <c r="AC110" s="494">
        <f t="shared" si="294"/>
        <v>0.6588235294117647</v>
      </c>
      <c r="AD110" s="494">
        <f t="shared" si="294"/>
        <v>0.63311688311688308</v>
      </c>
      <c r="AE110" s="494">
        <f t="shared" si="294"/>
        <v>0.67373572593800979</v>
      </c>
      <c r="AF110" s="1163">
        <f t="shared" si="294"/>
        <v>0.65334997919267579</v>
      </c>
      <c r="AG110" s="494">
        <f t="shared" si="294"/>
        <v>0.63593004769475359</v>
      </c>
      <c r="AH110" s="494">
        <f t="shared" si="294"/>
        <v>0.64668769716088326</v>
      </c>
      <c r="AI110" s="494">
        <f t="shared" si="294"/>
        <v>0.64589665653495443</v>
      </c>
      <c r="AJ110" s="494">
        <f t="shared" si="294"/>
        <v>0.62426035502958577</v>
      </c>
      <c r="AK110" s="1163">
        <f t="shared" si="294"/>
        <v>0.63804389680400464</v>
      </c>
      <c r="AL110" s="494">
        <f t="shared" si="294"/>
        <v>0.65467625899280579</v>
      </c>
      <c r="AM110" s="494">
        <f t="shared" si="294"/>
        <v>0.65813528336380256</v>
      </c>
      <c r="AN110" s="494">
        <f t="shared" si="294"/>
        <v>0.65357142857142858</v>
      </c>
      <c r="AO110" s="494">
        <f t="shared" si="294"/>
        <v>0.57517482517482521</v>
      </c>
      <c r="AP110" s="1163">
        <f t="shared" si="294"/>
        <v>0.63489932885906042</v>
      </c>
      <c r="AQ110" s="494">
        <f t="shared" si="294"/>
        <v>0.63397548161120842</v>
      </c>
      <c r="AR110" s="494">
        <f t="shared" si="294"/>
        <v>0.64795918367346939</v>
      </c>
      <c r="AS110" s="494">
        <f t="shared" si="294"/>
        <v>0.63132137030995106</v>
      </c>
      <c r="AT110" s="494">
        <f t="shared" si="294"/>
        <v>0.61477987421383651</v>
      </c>
      <c r="AU110" s="1163">
        <f t="shared" si="294"/>
        <v>0.63164451827242529</v>
      </c>
      <c r="AV110" s="494">
        <f t="shared" si="289"/>
        <v>0.61345852895148667</v>
      </c>
      <c r="AW110" s="494">
        <f t="shared" si="289"/>
        <v>0.61339421613394218</v>
      </c>
      <c r="AX110" s="494">
        <f t="shared" si="289"/>
        <v>0.61004431314623342</v>
      </c>
      <c r="AY110" s="494">
        <f>AY49/AY37</f>
        <v>0.61807580174927113</v>
      </c>
      <c r="AZ110" s="1163">
        <f>AZ49/AZ37</f>
        <v>0.61376457314779997</v>
      </c>
      <c r="BA110" s="494">
        <f t="shared" si="291"/>
        <v>0.62642045454545459</v>
      </c>
      <c r="BB110" s="494">
        <f t="shared" si="291"/>
        <v>0.61462728551336143</v>
      </c>
      <c r="BC110" s="494">
        <f t="shared" si="291"/>
        <v>0.63760217983651224</v>
      </c>
      <c r="BD110" s="494">
        <f>BD49/BD37</f>
        <v>0.63364993215739485</v>
      </c>
      <c r="BE110" s="1163">
        <f>BE49/BE37</f>
        <v>0.62820512820512819</v>
      </c>
      <c r="BF110" s="494">
        <f t="shared" si="293"/>
        <v>0.62739726027397258</v>
      </c>
      <c r="BG110" s="494">
        <f t="shared" si="293"/>
        <v>0.60622462787550746</v>
      </c>
      <c r="BH110" s="866">
        <f t="shared" si="293"/>
        <v>0.6196236559139785</v>
      </c>
      <c r="BI110" s="1053">
        <v>0.61</v>
      </c>
      <c r="BJ110" s="1165">
        <f>BJ49/BJ37</f>
        <v>0.61595748346126511</v>
      </c>
      <c r="BK110" s="1053">
        <v>0.61</v>
      </c>
      <c r="BL110" s="1053">
        <v>0.61</v>
      </c>
      <c r="BM110" s="1053">
        <v>0.61</v>
      </c>
      <c r="BN110" s="1053">
        <v>0.61</v>
      </c>
      <c r="BO110" s="1165">
        <f>BO49/BO37</f>
        <v>0.6100000000000001</v>
      </c>
      <c r="BP110" s="1166">
        <v>0.61</v>
      </c>
      <c r="BQ110" s="1166">
        <v>0.61</v>
      </c>
      <c r="BR110" s="1167">
        <v>0.61</v>
      </c>
      <c r="BS110" s="27"/>
    </row>
    <row r="111" spans="1:71" s="671" customFormat="1" ht="15">
      <c r="A111" s="623" t="s">
        <v>554</v>
      </c>
      <c r="B111" s="493"/>
      <c r="C111" s="1163"/>
      <c r="D111" s="1163"/>
      <c r="E111" s="1163">
        <f t="shared" si="295" ref="E111:AU111">E50/E37</f>
        <v>0</v>
      </c>
      <c r="F111" s="1163">
        <f t="shared" si="295"/>
        <v>0.0031645569620253164</v>
      </c>
      <c r="G111" s="1163">
        <f t="shared" si="295"/>
        <v>0.000881057268722467</v>
      </c>
      <c r="H111" s="494">
        <f t="shared" si="295"/>
        <v>0.0031948881789137379</v>
      </c>
      <c r="I111" s="494">
        <f t="shared" si="295"/>
        <v>0.0021413276231263384</v>
      </c>
      <c r="J111" s="494">
        <f t="shared" si="295"/>
        <v>0.00205761316872428</v>
      </c>
      <c r="K111" s="494">
        <f t="shared" si="295"/>
        <v>0.002004008016032064</v>
      </c>
      <c r="L111" s="1163">
        <f t="shared" si="295"/>
        <v>0.0022662889518413596</v>
      </c>
      <c r="M111" s="494">
        <f t="shared" si="295"/>
        <v>0.0020408163265306124</v>
      </c>
      <c r="N111" s="494">
        <f t="shared" si="295"/>
        <v>0.0019880715705765406</v>
      </c>
      <c r="O111" s="494">
        <f t="shared" si="295"/>
        <v>0.0019880715705765406</v>
      </c>
      <c r="P111" s="494">
        <f t="shared" si="295"/>
        <v>0.0019417475728155339</v>
      </c>
      <c r="Q111" s="1163">
        <f t="shared" si="295"/>
        <v>0.0019890601690701142</v>
      </c>
      <c r="R111" s="494">
        <f t="shared" si="295"/>
        <v>0.0019920318725099601</v>
      </c>
      <c r="S111" s="494">
        <f t="shared" si="295"/>
        <v>0.0060362173038229373</v>
      </c>
      <c r="T111" s="494">
        <f t="shared" si="295"/>
        <v>0.0040241448692152921</v>
      </c>
      <c r="U111" s="494">
        <f t="shared" si="295"/>
        <v>0.0078431372549019607</v>
      </c>
      <c r="V111" s="1163">
        <f t="shared" si="295"/>
        <v>0.0049850448654037887</v>
      </c>
      <c r="W111" s="494">
        <f t="shared" si="295"/>
        <v>0.001968503937007874</v>
      </c>
      <c r="X111" s="494">
        <f t="shared" si="295"/>
        <v>0.0037243947858472998</v>
      </c>
      <c r="Y111" s="494">
        <f t="shared" si="295"/>
        <v>0.095070422535211266</v>
      </c>
      <c r="Z111" s="494">
        <f t="shared" si="295"/>
        <v>0.024432809773123908</v>
      </c>
      <c r="AA111" s="1163">
        <f t="shared" si="295"/>
        <v>0.032479414455626715</v>
      </c>
      <c r="AB111" s="494">
        <f t="shared" si="295"/>
        <v>0.0086355785837651123</v>
      </c>
      <c r="AC111" s="494">
        <f t="shared" si="295"/>
        <v>0.0016806722689075631</v>
      </c>
      <c r="AD111" s="494">
        <f t="shared" si="295"/>
        <v>0.017857142857142856</v>
      </c>
      <c r="AE111" s="494">
        <f t="shared" si="295"/>
        <v>0.045676998368678633</v>
      </c>
      <c r="AF111" s="1163">
        <f t="shared" si="295"/>
        <v>0.018726591760299626</v>
      </c>
      <c r="AG111" s="494">
        <f t="shared" si="295"/>
        <v>0.001589825119236884</v>
      </c>
      <c r="AH111" s="494">
        <f t="shared" si="295"/>
        <v>0.0015772870662460567</v>
      </c>
      <c r="AI111" s="494">
        <f t="shared" si="295"/>
        <v>0.015197568389057751</v>
      </c>
      <c r="AJ111" s="494">
        <f t="shared" si="295"/>
        <v>0.0073964497041420114</v>
      </c>
      <c r="AK111" s="1163">
        <f t="shared" si="295"/>
        <v>0.0065460146322680011</v>
      </c>
      <c r="AL111" s="494">
        <f t="shared" si="295"/>
        <v>0</v>
      </c>
      <c r="AM111" s="494">
        <f t="shared" si="295"/>
        <v>0.10603290676416818</v>
      </c>
      <c r="AN111" s="494">
        <f t="shared" si="295"/>
        <v>0.0035714285714285713</v>
      </c>
      <c r="AO111" s="494">
        <f t="shared" si="295"/>
        <v>0.024475524475524476</v>
      </c>
      <c r="AP111" s="1163">
        <f t="shared" si="295"/>
        <v>0.033109619686800894</v>
      </c>
      <c r="AQ111" s="494">
        <f t="shared" si="295"/>
        <v>0.014010507880910683</v>
      </c>
      <c r="AR111" s="494">
        <f t="shared" si="295"/>
        <v>0.0034013605442176869</v>
      </c>
      <c r="AS111" s="494">
        <f t="shared" si="295"/>
        <v>0.0065252854812398045</v>
      </c>
      <c r="AT111" s="494">
        <f t="shared" si="295"/>
        <v>0.0062893081761006293</v>
      </c>
      <c r="AU111" s="1163">
        <f t="shared" si="295"/>
        <v>0.0074750830564784057</v>
      </c>
      <c r="AV111" s="494">
        <f t="shared" si="296" ref="AV111:BA111">AV50/AV37</f>
        <v>0.0015649452269170579</v>
      </c>
      <c r="AW111" s="494">
        <f t="shared" si="296"/>
        <v>0</v>
      </c>
      <c r="AX111" s="494">
        <f t="shared" si="296"/>
        <v>0.0044313146233382573</v>
      </c>
      <c r="AY111" s="494">
        <f t="shared" si="296"/>
        <v>0.01020408163265306</v>
      </c>
      <c r="AZ111" s="1163">
        <f t="shared" si="296"/>
        <v>0.0041368935690109061</v>
      </c>
      <c r="BA111" s="494">
        <f t="shared" si="296"/>
        <v>0.004261363636363636</v>
      </c>
      <c r="BB111" s="494">
        <f t="shared" si="297" ref="BB111:BG111">BB50/BB37</f>
        <v>0.011251758087201125</v>
      </c>
      <c r="BC111" s="494">
        <f t="shared" si="297"/>
        <v>0.02316076294277929</v>
      </c>
      <c r="BD111" s="494">
        <f t="shared" si="297"/>
        <v>0.010854816824966078</v>
      </c>
      <c r="BE111" s="1163">
        <f t="shared" si="297"/>
        <v>0.012474012474012475</v>
      </c>
      <c r="BF111" s="494">
        <f t="shared" si="297"/>
        <v>0.021917808219178082</v>
      </c>
      <c r="BG111" s="494">
        <f t="shared" si="297"/>
        <v>0.0067658998646820028</v>
      </c>
      <c r="BH111" s="866">
        <f>BH50/BH37</f>
        <v>0.021505376344086023</v>
      </c>
      <c r="BI111" s="1053">
        <v>0</v>
      </c>
      <c r="BJ111" s="1165">
        <f>BJ50/BJ37</f>
        <v>0.012913115879719283</v>
      </c>
      <c r="BK111" s="1053">
        <v>0</v>
      </c>
      <c r="BL111" s="1053">
        <v>0</v>
      </c>
      <c r="BM111" s="1053">
        <v>0</v>
      </c>
      <c r="BN111" s="1053">
        <v>0</v>
      </c>
      <c r="BO111" s="1165">
        <f>BO50/BO37</f>
        <v>0</v>
      </c>
      <c r="BP111" s="1166">
        <v>0</v>
      </c>
      <c r="BQ111" s="1166">
        <v>0</v>
      </c>
      <c r="BR111" s="1167">
        <v>0</v>
      </c>
      <c r="BS111" s="27"/>
    </row>
    <row r="112" spans="1:71" s="671" customFormat="1" ht="15">
      <c r="A112" s="490" t="s">
        <v>555</v>
      </c>
      <c r="B112" s="619"/>
      <c r="C112" s="1175"/>
      <c r="D112" s="1175"/>
      <c r="E112" s="1175">
        <f t="shared" si="298" ref="E112:AU112">E51/E37</f>
        <v>0</v>
      </c>
      <c r="F112" s="1175">
        <f t="shared" si="298"/>
        <v>0.63185654008438819</v>
      </c>
      <c r="G112" s="1175">
        <f t="shared" si="298"/>
        <v>0.61057268722466962</v>
      </c>
      <c r="H112" s="621">
        <f t="shared" si="298"/>
        <v>0.62619808306709268</v>
      </c>
      <c r="I112" s="621">
        <f t="shared" si="298"/>
        <v>0.65096359743040688</v>
      </c>
      <c r="J112" s="621">
        <f t="shared" si="298"/>
        <v>0.62345679012345678</v>
      </c>
      <c r="K112" s="621">
        <f t="shared" si="298"/>
        <v>0.6232464929859719</v>
      </c>
      <c r="L112" s="1175">
        <f t="shared" si="298"/>
        <v>0.63116147308781867</v>
      </c>
      <c r="M112" s="621">
        <f t="shared" si="298"/>
        <v>0.64489795918367343</v>
      </c>
      <c r="N112" s="621">
        <f t="shared" si="298"/>
        <v>0.63220675944333993</v>
      </c>
      <c r="O112" s="621">
        <f t="shared" si="298"/>
        <v>0.63618290258449306</v>
      </c>
      <c r="P112" s="621">
        <f t="shared" si="298"/>
        <v>0.62524271844660195</v>
      </c>
      <c r="Q112" s="1175">
        <f t="shared" si="298"/>
        <v>0.6345101939333665</v>
      </c>
      <c r="R112" s="621">
        <f t="shared" si="298"/>
        <v>0.63147410358565736</v>
      </c>
      <c r="S112" s="621">
        <f t="shared" si="298"/>
        <v>0.68209255533199198</v>
      </c>
      <c r="T112" s="621">
        <f t="shared" si="298"/>
        <v>0.66800804828973848</v>
      </c>
      <c r="U112" s="621">
        <f t="shared" si="298"/>
        <v>0.67647058823529416</v>
      </c>
      <c r="V112" s="1175">
        <f t="shared" si="298"/>
        <v>0.66450648055832506</v>
      </c>
      <c r="W112" s="621">
        <f t="shared" si="298"/>
        <v>0.66338582677165359</v>
      </c>
      <c r="X112" s="621">
        <f t="shared" si="298"/>
        <v>0.64059590316573556</v>
      </c>
      <c r="Y112" s="621">
        <f t="shared" si="298"/>
        <v>0.74823943661971826</v>
      </c>
      <c r="Z112" s="621">
        <f t="shared" si="298"/>
        <v>0.68062827225130895</v>
      </c>
      <c r="AA112" s="1175">
        <f t="shared" si="298"/>
        <v>0.68435498627630376</v>
      </c>
      <c r="AB112" s="621">
        <f t="shared" si="298"/>
        <v>0.65630397236614857</v>
      </c>
      <c r="AC112" s="621">
        <f t="shared" si="298"/>
        <v>0.66050420168067225</v>
      </c>
      <c r="AD112" s="621">
        <f t="shared" si="298"/>
        <v>0.65097402597402598</v>
      </c>
      <c r="AE112" s="621">
        <f t="shared" si="298"/>
        <v>0.71941272430668846</v>
      </c>
      <c r="AF112" s="1175">
        <f t="shared" si="298"/>
        <v>0.67207657095297546</v>
      </c>
      <c r="AG112" s="621">
        <f t="shared" si="298"/>
        <v>0.63751987281399047</v>
      </c>
      <c r="AH112" s="621">
        <f t="shared" si="298"/>
        <v>0.6482649842271293</v>
      </c>
      <c r="AI112" s="621">
        <f t="shared" si="298"/>
        <v>0.66109422492401215</v>
      </c>
      <c r="AJ112" s="621">
        <f t="shared" si="298"/>
        <v>0.63165680473372776</v>
      </c>
      <c r="AK112" s="1175">
        <f t="shared" si="298"/>
        <v>0.64458991143627264</v>
      </c>
      <c r="AL112" s="621">
        <f t="shared" si="298"/>
        <v>0.65467625899280579</v>
      </c>
      <c r="AM112" s="621">
        <f t="shared" si="298"/>
        <v>0.76416819012797077</v>
      </c>
      <c r="AN112" s="621">
        <f t="shared" si="298"/>
        <v>0.65714285714285714</v>
      </c>
      <c r="AO112" s="621">
        <f t="shared" si="298"/>
        <v>0.59965034965034969</v>
      </c>
      <c r="AP112" s="1175">
        <f t="shared" si="298"/>
        <v>0.66800894854586135</v>
      </c>
      <c r="AQ112" s="621">
        <f t="shared" si="298"/>
        <v>0.64798598949211905</v>
      </c>
      <c r="AR112" s="621">
        <f t="shared" si="298"/>
        <v>0.65136054421768708</v>
      </c>
      <c r="AS112" s="621">
        <f t="shared" si="298"/>
        <v>0.63784665579119082</v>
      </c>
      <c r="AT112" s="621">
        <f t="shared" si="298"/>
        <v>0.62106918238993714</v>
      </c>
      <c r="AU112" s="1175">
        <f t="shared" si="298"/>
        <v>0.63911960132890366</v>
      </c>
      <c r="AV112" s="621">
        <f t="shared" si="299" ref="AV112:AZ112">AV51/AV37</f>
        <v>0.61502347417840375</v>
      </c>
      <c r="AW112" s="621">
        <f t="shared" si="299"/>
        <v>0.61339421613394218</v>
      </c>
      <c r="AX112" s="621">
        <f t="shared" si="299"/>
        <v>0.61447562776957165</v>
      </c>
      <c r="AY112" s="621">
        <f t="shared" si="299"/>
        <v>0.6282798833819242</v>
      </c>
      <c r="AZ112" s="1175">
        <f t="shared" si="299"/>
        <v>0.61790146671681079</v>
      </c>
      <c r="BA112" s="621">
        <f t="shared" si="300" ref="BA112:BR112">BA51/BA37</f>
        <v>0.63068181818181823</v>
      </c>
      <c r="BB112" s="621">
        <f t="shared" si="300"/>
        <v>0.62587904360056257</v>
      </c>
      <c r="BC112" s="621">
        <f t="shared" si="300"/>
        <v>0.6607629427792916</v>
      </c>
      <c r="BD112" s="621">
        <f t="shared" si="300"/>
        <v>0.64450474898236088</v>
      </c>
      <c r="BE112" s="1175">
        <f t="shared" si="300"/>
        <v>0.64067914067914067</v>
      </c>
      <c r="BF112" s="621">
        <f>BF51/BF37</f>
        <v>0.64931506849315068</v>
      </c>
      <c r="BG112" s="621">
        <f>BG51/BG37</f>
        <v>0.61299052774018947</v>
      </c>
      <c r="BH112" s="885">
        <f>BH51/BH37</f>
        <v>0.6411290322580645</v>
      </c>
      <c r="BI112" s="621">
        <f t="shared" si="300"/>
        <v>0.61</v>
      </c>
      <c r="BJ112" s="1175">
        <f t="shared" si="300"/>
        <v>0.62887059934098444</v>
      </c>
      <c r="BK112" s="621">
        <f t="shared" si="300"/>
        <v>0.61</v>
      </c>
      <c r="BL112" s="621">
        <f t="shared" si="300"/>
        <v>0.61</v>
      </c>
      <c r="BM112" s="621">
        <f t="shared" si="300"/>
        <v>0.61</v>
      </c>
      <c r="BN112" s="621">
        <f t="shared" si="300"/>
        <v>0.61</v>
      </c>
      <c r="BO112" s="1175">
        <f t="shared" si="300"/>
        <v>0.6100000000000001</v>
      </c>
      <c r="BP112" s="1175">
        <f t="shared" si="300"/>
        <v>0.61</v>
      </c>
      <c r="BQ112" s="1175">
        <f t="shared" si="300"/>
        <v>0.61</v>
      </c>
      <c r="BR112" s="1175">
        <f t="shared" si="300"/>
        <v>0.61</v>
      </c>
      <c r="BS112" s="27"/>
    </row>
    <row r="113" spans="1:71" s="671" customFormat="1" ht="15">
      <c r="A113" s="613" t="s">
        <v>556</v>
      </c>
      <c r="B113" s="493"/>
      <c r="C113" s="1163"/>
      <c r="D113" s="1163"/>
      <c r="E113" s="1164">
        <f t="shared" si="301" ref="E113:AU113">E52/E37</f>
        <v>0</v>
      </c>
      <c r="F113" s="1164">
        <f t="shared" si="301"/>
        <v>-0.018987341772151899</v>
      </c>
      <c r="G113" s="1164">
        <f t="shared" si="301"/>
        <v>-0.035242290748898682</v>
      </c>
      <c r="H113" s="312">
        <f t="shared" si="301"/>
        <v>-0.076677316293929709</v>
      </c>
      <c r="I113" s="312">
        <f t="shared" si="301"/>
        <v>-0.0085653104925053538</v>
      </c>
      <c r="J113" s="312">
        <f t="shared" si="301"/>
        <v>0.014403292181069959</v>
      </c>
      <c r="K113" s="312">
        <f t="shared" si="301"/>
        <v>0.028056112224448898</v>
      </c>
      <c r="L113" s="1164">
        <f t="shared" si="301"/>
        <v>-0.0039660056657223799</v>
      </c>
      <c r="M113" s="312">
        <f t="shared" si="301"/>
        <v>0</v>
      </c>
      <c r="N113" s="312">
        <f t="shared" si="301"/>
        <v>-0.013916500994035786</v>
      </c>
      <c r="O113" s="312">
        <f t="shared" si="301"/>
        <v>0.0059642147117296221</v>
      </c>
      <c r="P113" s="312">
        <f t="shared" si="301"/>
        <v>-0.013592233009708738</v>
      </c>
      <c r="Q113" s="1164">
        <f t="shared" si="301"/>
        <v>-0.0054699154649428148</v>
      </c>
      <c r="R113" s="312">
        <f t="shared" si="301"/>
        <v>-0.0079681274900398405</v>
      </c>
      <c r="S113" s="312">
        <f t="shared" si="301"/>
        <v>-0.020120724346076459</v>
      </c>
      <c r="T113" s="312">
        <f t="shared" si="301"/>
        <v>-0.0040241448692152921</v>
      </c>
      <c r="U113" s="312">
        <f t="shared" si="301"/>
        <v>0.0058823529411764705</v>
      </c>
      <c r="V113" s="1164">
        <f t="shared" si="301"/>
        <v>-0.0064805583250249254</v>
      </c>
      <c r="W113" s="312">
        <f t="shared" si="301"/>
        <v>-0.011811023622047244</v>
      </c>
      <c r="X113" s="312">
        <f t="shared" si="301"/>
        <v>-0.0093109869646182501</v>
      </c>
      <c r="Y113" s="312">
        <f t="shared" si="301"/>
        <v>-0.040492957746478875</v>
      </c>
      <c r="Z113" s="312">
        <f t="shared" si="301"/>
        <v>-0.090750436300174514</v>
      </c>
      <c r="AA113" s="1164">
        <f t="shared" si="301"/>
        <v>-0.039341262580054895</v>
      </c>
      <c r="AB113" s="312">
        <f t="shared" si="301"/>
        <v>-0.060449050086355788</v>
      </c>
      <c r="AC113" s="312">
        <f t="shared" si="301"/>
        <v>-0.025210084033613446</v>
      </c>
      <c r="AD113" s="312">
        <f t="shared" si="301"/>
        <v>-0.060064935064935064</v>
      </c>
      <c r="AE113" s="312">
        <f t="shared" si="301"/>
        <v>-0.084828711256117462</v>
      </c>
      <c r="AF113" s="1164">
        <f t="shared" si="301"/>
        <v>-0.05784436121514773</v>
      </c>
      <c r="AG113" s="312">
        <f t="shared" si="301"/>
        <v>-0.02066772655007949</v>
      </c>
      <c r="AH113" s="312">
        <f t="shared" si="301"/>
        <v>-0.048895899053627762</v>
      </c>
      <c r="AI113" s="312">
        <f t="shared" si="301"/>
        <v>-0.028875379939209727</v>
      </c>
      <c r="AJ113" s="312">
        <f t="shared" si="301"/>
        <v>-0.036982248520710061</v>
      </c>
      <c r="AK113" s="1164">
        <f t="shared" si="301"/>
        <v>-0.033885252214093185</v>
      </c>
      <c r="AL113" s="312">
        <f t="shared" si="301"/>
        <v>-0.043165467625899283</v>
      </c>
      <c r="AM113" s="312">
        <f t="shared" si="301"/>
        <v>-0.093235831809872036</v>
      </c>
      <c r="AN113" s="312">
        <f t="shared" si="301"/>
        <v>-0.028571428571428571</v>
      </c>
      <c r="AO113" s="312">
        <f t="shared" si="301"/>
        <v>-0.01048951048951049</v>
      </c>
      <c r="AP113" s="1164">
        <f t="shared" si="301"/>
        <v>-0.043400447427293064</v>
      </c>
      <c r="AQ113" s="312">
        <f t="shared" si="301"/>
        <v>-0.015761821366024518</v>
      </c>
      <c r="AR113" s="312">
        <f t="shared" si="301"/>
        <v>-0.034013605442176874</v>
      </c>
      <c r="AS113" s="312">
        <f t="shared" si="301"/>
        <v>-0.091353996737357265</v>
      </c>
      <c r="AT113" s="312">
        <f t="shared" si="301"/>
        <v>-0.086477987421383642</v>
      </c>
      <c r="AU113" s="1164">
        <f t="shared" si="301"/>
        <v>-0.058139534883720929</v>
      </c>
      <c r="AV113" s="312">
        <f t="shared" si="302" ref="AV113:BA113">AV52/AV37</f>
        <v>-0.076682316118935834</v>
      </c>
      <c r="AW113" s="312">
        <f t="shared" si="302"/>
        <v>-0.074581430745814303</v>
      </c>
      <c r="AX113" s="312">
        <f t="shared" si="302"/>
        <v>-0.062038404726735601</v>
      </c>
      <c r="AY113" s="312">
        <f t="shared" si="302"/>
        <v>-0.072886297376093298</v>
      </c>
      <c r="AZ113" s="1164">
        <f t="shared" si="302"/>
        <v>-0.071455434373824747</v>
      </c>
      <c r="BA113" s="312">
        <f t="shared" si="302"/>
        <v>-0.038352272727272728</v>
      </c>
      <c r="BB113" s="312">
        <f t="shared" si="303" ref="BB113:BG113">BB52/BB37</f>
        <v>-0.033755274261603373</v>
      </c>
      <c r="BC113" s="312">
        <f t="shared" si="303"/>
        <v>-0.029972752043596729</v>
      </c>
      <c r="BD113" s="312">
        <f t="shared" si="303"/>
        <v>-0.050203527815468114</v>
      </c>
      <c r="BE113" s="1164">
        <f t="shared" si="303"/>
        <v>-0.038115038115038115</v>
      </c>
      <c r="BF113" s="312">
        <f t="shared" si="303"/>
        <v>-0.023287671232876714</v>
      </c>
      <c r="BG113" s="312">
        <f t="shared" si="303"/>
        <v>-0.033829499323410013</v>
      </c>
      <c r="BH113" s="881">
        <f>BH52/BH37</f>
        <v>-0.0053763440860215058</v>
      </c>
      <c r="BI113" s="1053">
        <v>0</v>
      </c>
      <c r="BJ113" s="1165">
        <f>BJ52/BJ37</f>
        <v>-0.016054144066678027</v>
      </c>
      <c r="BK113" s="1053">
        <v>0</v>
      </c>
      <c r="BL113" s="1053">
        <v>0</v>
      </c>
      <c r="BM113" s="1053">
        <v>0</v>
      </c>
      <c r="BN113" s="1053">
        <v>0</v>
      </c>
      <c r="BO113" s="1165">
        <f>BO52/BO37</f>
        <v>0</v>
      </c>
      <c r="BP113" s="1166">
        <v>0</v>
      </c>
      <c r="BQ113" s="1166">
        <v>0</v>
      </c>
      <c r="BR113" s="1167">
        <v>0</v>
      </c>
      <c r="BS113" s="27"/>
    </row>
    <row r="114" spans="1:71" s="671" customFormat="1" ht="15">
      <c r="A114" s="622" t="s">
        <v>90</v>
      </c>
      <c r="B114" s="619"/>
      <c r="C114" s="1175"/>
      <c r="D114" s="1175"/>
      <c r="E114" s="1175">
        <f t="shared" si="304" ref="E114:AK114">E53/E37</f>
        <v>0.60894495412844041</v>
      </c>
      <c r="F114" s="1175">
        <f t="shared" si="304"/>
        <v>0.6128691983122363</v>
      </c>
      <c r="G114" s="1175">
        <f t="shared" si="304"/>
        <v>0.57533039647577089</v>
      </c>
      <c r="H114" s="621">
        <f t="shared" si="304"/>
        <v>0.54952076677316297</v>
      </c>
      <c r="I114" s="621">
        <f t="shared" si="304"/>
        <v>0.64239828693790146</v>
      </c>
      <c r="J114" s="621">
        <f t="shared" si="304"/>
        <v>0.63786008230452673</v>
      </c>
      <c r="K114" s="621">
        <f t="shared" si="304"/>
        <v>0.65130260521042083</v>
      </c>
      <c r="L114" s="1175">
        <f t="shared" si="304"/>
        <v>0.62719546742209631</v>
      </c>
      <c r="M114" s="621">
        <f t="shared" si="304"/>
        <v>0.64489795918367343</v>
      </c>
      <c r="N114" s="621">
        <f t="shared" si="304"/>
        <v>0.61829025844930419</v>
      </c>
      <c r="O114" s="621">
        <f t="shared" si="304"/>
        <v>0.64214711729622265</v>
      </c>
      <c r="P114" s="621">
        <f t="shared" si="304"/>
        <v>0.61165048543689315</v>
      </c>
      <c r="Q114" s="1175">
        <f t="shared" si="304"/>
        <v>0.6290402784684237</v>
      </c>
      <c r="R114" s="621">
        <f t="shared" si="304"/>
        <v>0.62350597609561753</v>
      </c>
      <c r="S114" s="621">
        <f t="shared" si="304"/>
        <v>0.6619718309859155</v>
      </c>
      <c r="T114" s="621">
        <f t="shared" si="304"/>
        <v>0.66398390342052316</v>
      </c>
      <c r="U114" s="621">
        <f t="shared" si="304"/>
        <v>0.68235294117647061</v>
      </c>
      <c r="V114" s="1175">
        <f t="shared" si="304"/>
        <v>0.65802592223330014</v>
      </c>
      <c r="W114" s="621">
        <f t="shared" si="304"/>
        <v>0.65157480314960625</v>
      </c>
      <c r="X114" s="621">
        <f t="shared" si="304"/>
        <v>0.63128491620111726</v>
      </c>
      <c r="Y114" s="621">
        <f t="shared" si="304"/>
        <v>0.70774647887323938</v>
      </c>
      <c r="Z114" s="621">
        <f t="shared" si="304"/>
        <v>0.58987783595113441</v>
      </c>
      <c r="AA114" s="1175">
        <f t="shared" si="304"/>
        <v>0.64501372369624888</v>
      </c>
      <c r="AB114" s="621">
        <f t="shared" si="304"/>
        <v>0.59585492227979275</v>
      </c>
      <c r="AC114" s="621">
        <f t="shared" si="304"/>
        <v>0.63529411764705879</v>
      </c>
      <c r="AD114" s="621">
        <f t="shared" si="304"/>
        <v>0.59090909090909094</v>
      </c>
      <c r="AE114" s="621">
        <f t="shared" si="304"/>
        <v>0.63458401305057099</v>
      </c>
      <c r="AF114" s="1175">
        <f t="shared" si="304"/>
        <v>0.61423220973782766</v>
      </c>
      <c r="AG114" s="621">
        <f t="shared" si="304"/>
        <v>0.61685214626391094</v>
      </c>
      <c r="AH114" s="621">
        <f t="shared" si="304"/>
        <v>0.59936908517350163</v>
      </c>
      <c r="AI114" s="621">
        <f t="shared" si="304"/>
        <v>0.63221884498480241</v>
      </c>
      <c r="AJ114" s="621">
        <f t="shared" si="304"/>
        <v>0.59467455621301779</v>
      </c>
      <c r="AK114" s="1175">
        <f t="shared" si="304"/>
        <v>0.61070465922217942</v>
      </c>
      <c r="AL114" s="621">
        <f t="shared" si="305" ref="AL114:AU114">AL53/AL37</f>
        <v>0.61151079136690645</v>
      </c>
      <c r="AM114" s="621">
        <f t="shared" si="305"/>
        <v>0.67093235831809872</v>
      </c>
      <c r="AN114" s="621">
        <f t="shared" si="305"/>
        <v>0.62857142857142856</v>
      </c>
      <c r="AO114" s="621">
        <f t="shared" si="305"/>
        <v>0.58916083916083917</v>
      </c>
      <c r="AP114" s="1175">
        <f t="shared" si="305"/>
        <v>0.62460850111856825</v>
      </c>
      <c r="AQ114" s="621">
        <f t="shared" si="305"/>
        <v>0.63222416812609461</v>
      </c>
      <c r="AR114" s="621">
        <f t="shared" si="305"/>
        <v>0.61734693877551017</v>
      </c>
      <c r="AS114" s="621">
        <f t="shared" si="305"/>
        <v>0.5464926590538336</v>
      </c>
      <c r="AT114" s="621">
        <f t="shared" si="305"/>
        <v>0.53459119496855345</v>
      </c>
      <c r="AU114" s="1175">
        <f t="shared" si="305"/>
        <v>0.58098006644518274</v>
      </c>
      <c r="AV114" s="621">
        <f t="shared" si="306" ref="AV114:AX115">AV53/AV37</f>
        <v>0.53834115805946792</v>
      </c>
      <c r="AW114" s="621">
        <f t="shared" si="306"/>
        <v>0.53881278538812782</v>
      </c>
      <c r="AX114" s="621">
        <f t="shared" si="306"/>
        <v>0.55243722304283605</v>
      </c>
      <c r="AY114" s="621">
        <f t="shared" si="307" ref="AY114:AZ114">AY53/AY37</f>
        <v>0.55539358600583089</v>
      </c>
      <c r="AZ114" s="1175">
        <f t="shared" si="307"/>
        <v>0.54644603234298605</v>
      </c>
      <c r="BA114" s="621">
        <f t="shared" si="308" ref="BA114:BC115">BA53/BA37</f>
        <v>0.59232954545454541</v>
      </c>
      <c r="BB114" s="621">
        <f t="shared" si="308"/>
        <v>0.59212376933895916</v>
      </c>
      <c r="BC114" s="621">
        <f t="shared" si="308"/>
        <v>0.63079019073569487</v>
      </c>
      <c r="BD114" s="621">
        <f t="shared" si="309" ref="BD114:BR114">BD53/BD37</f>
        <v>0.59430122116689277</v>
      </c>
      <c r="BE114" s="1175">
        <f t="shared" si="309"/>
        <v>0.60256410256410253</v>
      </c>
      <c r="BF114" s="621">
        <f t="shared" si="310" ref="BF114:BH115">BF53/BF37</f>
        <v>0.62602739726027401</v>
      </c>
      <c r="BG114" s="621">
        <f t="shared" si="310"/>
        <v>0.57916102841677941</v>
      </c>
      <c r="BH114" s="885">
        <f t="shared" si="310"/>
        <v>0.635752688172043</v>
      </c>
      <c r="BI114" s="621">
        <f t="shared" si="309"/>
        <v>0.61</v>
      </c>
      <c r="BJ114" s="1175">
        <f t="shared" si="309"/>
        <v>0.61281645527430639</v>
      </c>
      <c r="BK114" s="621">
        <f t="shared" si="309"/>
        <v>0.61</v>
      </c>
      <c r="BL114" s="621">
        <f t="shared" si="309"/>
        <v>0.61</v>
      </c>
      <c r="BM114" s="621">
        <f t="shared" si="309"/>
        <v>0.61</v>
      </c>
      <c r="BN114" s="621">
        <f t="shared" si="309"/>
        <v>0.61</v>
      </c>
      <c r="BO114" s="1175">
        <f t="shared" si="309"/>
        <v>0.6100000000000001</v>
      </c>
      <c r="BP114" s="1175">
        <f t="shared" si="309"/>
        <v>0.61</v>
      </c>
      <c r="BQ114" s="1175">
        <f t="shared" si="309"/>
        <v>0.61</v>
      </c>
      <c r="BR114" s="1175">
        <f t="shared" si="309"/>
        <v>0.61</v>
      </c>
      <c r="BS114" s="27"/>
    </row>
    <row r="115" spans="1:71" s="671" customFormat="1" ht="15">
      <c r="A115" s="614" t="s">
        <v>561</v>
      </c>
      <c r="B115" s="493"/>
      <c r="C115" s="1163"/>
      <c r="D115" s="1163"/>
      <c r="E115" s="1164">
        <f t="shared" si="311" ref="E115:AU115">E54/E38</f>
        <v>0</v>
      </c>
      <c r="F115" s="1164">
        <f t="shared" si="311"/>
        <v>0.44691358024691358</v>
      </c>
      <c r="G115" s="1164">
        <f t="shared" si="311"/>
        <v>0.36034115138592748</v>
      </c>
      <c r="H115" s="312">
        <f t="shared" si="311"/>
        <v>0.37606837606837606</v>
      </c>
      <c r="I115" s="312">
        <f t="shared" si="311"/>
        <v>0.35344827586206895</v>
      </c>
      <c r="J115" s="312">
        <f t="shared" si="311"/>
        <v>0.36521739130434783</v>
      </c>
      <c r="K115" s="312">
        <f t="shared" si="311"/>
        <v>0.38016528925619836</v>
      </c>
      <c r="L115" s="1164">
        <f t="shared" si="311"/>
        <v>0.36886993603411516</v>
      </c>
      <c r="M115" s="312">
        <f t="shared" si="311"/>
        <v>0.36666666666666664</v>
      </c>
      <c r="N115" s="312">
        <f t="shared" si="311"/>
        <v>0.32558139534883723</v>
      </c>
      <c r="O115" s="312">
        <f t="shared" si="311"/>
        <v>0.3282442748091603</v>
      </c>
      <c r="P115" s="312">
        <f t="shared" si="311"/>
        <v>0.33576642335766421</v>
      </c>
      <c r="Q115" s="1164">
        <f t="shared" si="311"/>
        <v>0.33849129593810445</v>
      </c>
      <c r="R115" s="312">
        <f t="shared" si="311"/>
        <v>0.36363636363636365</v>
      </c>
      <c r="S115" s="312">
        <f t="shared" si="311"/>
        <v>0.33093525179856115</v>
      </c>
      <c r="T115" s="312">
        <f t="shared" si="311"/>
        <v>0.31724137931034485</v>
      </c>
      <c r="U115" s="312">
        <f t="shared" si="311"/>
        <v>0.3546099290780142</v>
      </c>
      <c r="V115" s="1164">
        <f t="shared" si="311"/>
        <v>0.34111310592459604</v>
      </c>
      <c r="W115" s="312">
        <f t="shared" si="311"/>
        <v>0.40816326530612246</v>
      </c>
      <c r="X115" s="312">
        <f t="shared" si="311"/>
        <v>0.35616438356164382</v>
      </c>
      <c r="Y115" s="312">
        <f t="shared" si="311"/>
        <v>0.38732394366197181</v>
      </c>
      <c r="Z115" s="312">
        <f t="shared" si="311"/>
        <v>0.36170212765957449</v>
      </c>
      <c r="AA115" s="1164">
        <f t="shared" si="311"/>
        <v>0.37847222222222221</v>
      </c>
      <c r="AB115" s="312">
        <f t="shared" si="311"/>
        <v>0.40268456375838924</v>
      </c>
      <c r="AC115" s="312">
        <f t="shared" si="311"/>
        <v>0.37106918238993708</v>
      </c>
      <c r="AD115" s="312">
        <f t="shared" si="311"/>
        <v>0.37583892617449666</v>
      </c>
      <c r="AE115" s="312">
        <f t="shared" si="311"/>
        <v>0.34042553191489361</v>
      </c>
      <c r="AF115" s="1164">
        <f t="shared" si="311"/>
        <v>0.37290969899665549</v>
      </c>
      <c r="AG115" s="312">
        <f t="shared" si="311"/>
        <v>0.41095890410958902</v>
      </c>
      <c r="AH115" s="312">
        <f t="shared" si="311"/>
        <v>0.36423841059602646</v>
      </c>
      <c r="AI115" s="312">
        <f t="shared" si="311"/>
        <v>0.32919254658385094</v>
      </c>
      <c r="AJ115" s="312">
        <f t="shared" si="311"/>
        <v>0.34210526315789475</v>
      </c>
      <c r="AK115" s="1164">
        <f t="shared" si="311"/>
        <v>0.36065573770491804</v>
      </c>
      <c r="AL115" s="312">
        <f t="shared" si="311"/>
        <v>0.38461538461538464</v>
      </c>
      <c r="AM115" s="312">
        <f t="shared" si="311"/>
        <v>0.28472222222222221</v>
      </c>
      <c r="AN115" s="312">
        <f t="shared" si="311"/>
        <v>0.38064516129032255</v>
      </c>
      <c r="AO115" s="312">
        <f t="shared" si="311"/>
        <v>0.36708860759493672</v>
      </c>
      <c r="AP115" s="1164">
        <f t="shared" si="311"/>
        <v>0.35562805872756931</v>
      </c>
      <c r="AQ115" s="312">
        <f t="shared" si="311"/>
        <v>0.3503184713375796</v>
      </c>
      <c r="AR115" s="312">
        <f t="shared" si="311"/>
        <v>0.38216560509554143</v>
      </c>
      <c r="AS115" s="312">
        <f t="shared" si="311"/>
        <v>0.35582822085889571</v>
      </c>
      <c r="AT115" s="312">
        <f t="shared" si="311"/>
        <v>0.3515151515151515</v>
      </c>
      <c r="AU115" s="1164">
        <f t="shared" si="311"/>
        <v>0.35981308411214952</v>
      </c>
      <c r="AV115" s="312">
        <f t="shared" si="306"/>
        <v>0.3619631901840491</v>
      </c>
      <c r="AW115" s="312">
        <f t="shared" si="306"/>
        <v>0.32748538011695905</v>
      </c>
      <c r="AX115" s="312">
        <f t="shared" si="306"/>
        <v>0.33333333333333331</v>
      </c>
      <c r="AY115" s="312">
        <f>AY54/AY38</f>
        <v>0.39896373056994816</v>
      </c>
      <c r="AZ115" s="1164">
        <f>AZ54/AZ38</f>
        <v>0.35673352435530087</v>
      </c>
      <c r="BA115" s="312">
        <f t="shared" si="308"/>
        <v>0.35714285714285715</v>
      </c>
      <c r="BB115" s="312">
        <f t="shared" si="308"/>
        <v>0.36410256410256409</v>
      </c>
      <c r="BC115" s="312">
        <f t="shared" si="308"/>
        <v>0.34913793103448276</v>
      </c>
      <c r="BD115" s="312">
        <f>BD54/BD38</f>
        <v>0.36475409836065575</v>
      </c>
      <c r="BE115" s="1164">
        <f>BE54/BE38</f>
        <v>0.35870818915801617</v>
      </c>
      <c r="BF115" s="312">
        <f t="shared" si="310"/>
        <v>0.34567901234567899</v>
      </c>
      <c r="BG115" s="312">
        <f t="shared" si="310"/>
        <v>0.34854771784232363</v>
      </c>
      <c r="BH115" s="881">
        <f t="shared" si="310"/>
        <v>0.31598513011152418</v>
      </c>
      <c r="BI115" s="1053">
        <v>0.36</v>
      </c>
      <c r="BJ115" s="1165">
        <f>BJ54/BJ38</f>
        <v>0.34178153970173319</v>
      </c>
      <c r="BK115" s="1053">
        <v>0.36</v>
      </c>
      <c r="BL115" s="1053">
        <v>0.36</v>
      </c>
      <c r="BM115" s="1053">
        <v>0.36</v>
      </c>
      <c r="BN115" s="1053">
        <v>0.36</v>
      </c>
      <c r="BO115" s="1165">
        <f>BO54/BO38</f>
        <v>0.36</v>
      </c>
      <c r="BP115" s="1166">
        <v>0.36</v>
      </c>
      <c r="BQ115" s="1166">
        <v>0.36</v>
      </c>
      <c r="BR115" s="1167">
        <v>0.36</v>
      </c>
      <c r="BS115" s="27"/>
    </row>
    <row r="116" spans="1:71" s="671" customFormat="1" ht="15">
      <c r="A116" s="614" t="s">
        <v>558</v>
      </c>
      <c r="B116" s="493"/>
      <c r="C116" s="1163"/>
      <c r="D116" s="1163"/>
      <c r="E116" s="1164">
        <f t="shared" si="312" ref="E116:AU116">E55/E38</f>
        <v>0</v>
      </c>
      <c r="F116" s="1164">
        <f t="shared" si="312"/>
        <v>0.012345679012345678</v>
      </c>
      <c r="G116" s="1164">
        <f t="shared" si="312"/>
        <v>0.0063965884861407248</v>
      </c>
      <c r="H116" s="312">
        <f t="shared" si="312"/>
        <v>0.017094017094017096</v>
      </c>
      <c r="I116" s="312">
        <f t="shared" si="312"/>
        <v>0.0086206896551724137</v>
      </c>
      <c r="J116" s="312">
        <f t="shared" si="312"/>
        <v>0</v>
      </c>
      <c r="K116" s="312">
        <f t="shared" si="312"/>
        <v>0</v>
      </c>
      <c r="L116" s="1164">
        <f t="shared" si="312"/>
        <v>0.0063965884861407248</v>
      </c>
      <c r="M116" s="312">
        <f t="shared" si="312"/>
        <v>0.0083333333333333332</v>
      </c>
      <c r="N116" s="312">
        <f t="shared" si="312"/>
        <v>0.015503875968992248</v>
      </c>
      <c r="O116" s="312">
        <f t="shared" si="312"/>
        <v>0.0076335877862595417</v>
      </c>
      <c r="P116" s="312">
        <f t="shared" si="312"/>
        <v>0.036496350364963501</v>
      </c>
      <c r="Q116" s="1164">
        <f t="shared" si="312"/>
        <v>0.017408123791102514</v>
      </c>
      <c r="R116" s="312">
        <f t="shared" si="312"/>
        <v>0.007575757575757576</v>
      </c>
      <c r="S116" s="312">
        <f t="shared" si="312"/>
        <v>0.021582733812949641</v>
      </c>
      <c r="T116" s="312">
        <f t="shared" si="312"/>
        <v>0.034482758620689655</v>
      </c>
      <c r="U116" s="312">
        <f t="shared" si="312"/>
        <v>0.014184397163120567</v>
      </c>
      <c r="V116" s="1164">
        <f t="shared" si="312"/>
        <v>0.019748653500897665</v>
      </c>
      <c r="W116" s="312">
        <f t="shared" si="312"/>
        <v>0.0068027210884353739</v>
      </c>
      <c r="X116" s="312">
        <f t="shared" si="312"/>
        <v>0.034246575342465752</v>
      </c>
      <c r="Y116" s="312">
        <f t="shared" si="312"/>
        <v>0.20422535211267606</v>
      </c>
      <c r="Z116" s="312">
        <f t="shared" si="312"/>
        <v>-0.035460992907801421</v>
      </c>
      <c r="AA116" s="1164">
        <f t="shared" si="312"/>
        <v>0.052083333333333336</v>
      </c>
      <c r="AB116" s="312">
        <f t="shared" si="312"/>
        <v>0.020134228187919462</v>
      </c>
      <c r="AC116" s="312">
        <f t="shared" si="312"/>
        <v>0.018867924528301886</v>
      </c>
      <c r="AD116" s="312">
        <f t="shared" si="312"/>
        <v>0.080536912751677847</v>
      </c>
      <c r="AE116" s="312">
        <f t="shared" si="312"/>
        <v>0.070921985815602842</v>
      </c>
      <c r="AF116" s="1164">
        <f t="shared" si="312"/>
        <v>0.046822742474916385</v>
      </c>
      <c r="AG116" s="312">
        <f t="shared" si="312"/>
        <v>0.013698630136986301</v>
      </c>
      <c r="AH116" s="312">
        <f t="shared" si="312"/>
        <v>0.019867549668874173</v>
      </c>
      <c r="AI116" s="312">
        <f t="shared" si="312"/>
        <v>0.018633540372670808</v>
      </c>
      <c r="AJ116" s="312">
        <f t="shared" si="312"/>
        <v>0.013157894736842105</v>
      </c>
      <c r="AK116" s="1164">
        <f t="shared" si="312"/>
        <v>0.016393442622950821</v>
      </c>
      <c r="AL116" s="312">
        <f t="shared" si="312"/>
        <v>0.00641025641025641</v>
      </c>
      <c r="AM116" s="312">
        <f t="shared" si="312"/>
        <v>0.24305555555555555</v>
      </c>
      <c r="AN116" s="312">
        <f t="shared" si="312"/>
        <v>0.077419354838709681</v>
      </c>
      <c r="AO116" s="312">
        <f t="shared" si="312"/>
        <v>0.025316455696202531</v>
      </c>
      <c r="AP116" s="1164">
        <f t="shared" si="312"/>
        <v>0.084828711256117462</v>
      </c>
      <c r="AQ116" s="312">
        <f t="shared" si="312"/>
        <v>0.038216560509554139</v>
      </c>
      <c r="AR116" s="312">
        <f t="shared" si="312"/>
        <v>0.025477707006369428</v>
      </c>
      <c r="AS116" s="312">
        <f t="shared" si="312"/>
        <v>0.09815950920245399</v>
      </c>
      <c r="AT116" s="312">
        <f t="shared" si="312"/>
        <v>0.042424242424242427</v>
      </c>
      <c r="AU116" s="1164">
        <f t="shared" si="312"/>
        <v>0.051401869158878503</v>
      </c>
      <c r="AV116" s="312">
        <f t="shared" si="313" ref="AV116:BA116">AV55/AV38</f>
        <v>0.012269938650306749</v>
      </c>
      <c r="AW116" s="312">
        <f t="shared" si="313"/>
        <v>0.017543859649122806</v>
      </c>
      <c r="AX116" s="312">
        <f t="shared" si="313"/>
        <v>0.19883040935672514</v>
      </c>
      <c r="AY116" s="312">
        <f t="shared" si="313"/>
        <v>-0.015544041450777202</v>
      </c>
      <c r="AZ116" s="1164">
        <f t="shared" si="313"/>
        <v>0.051575931232091692</v>
      </c>
      <c r="BA116" s="312">
        <f t="shared" si="313"/>
        <v>0.020408163265306121</v>
      </c>
      <c r="BB116" s="312">
        <f t="shared" si="314" ref="BB116:BG116">BB55/BB38</f>
        <v>0.097435897435897437</v>
      </c>
      <c r="BC116" s="312">
        <f t="shared" si="314"/>
        <v>0.094827586206896547</v>
      </c>
      <c r="BD116" s="312">
        <f t="shared" si="314"/>
        <v>0.016393442622950821</v>
      </c>
      <c r="BE116" s="1164">
        <f t="shared" si="314"/>
        <v>0.056516724336793542</v>
      </c>
      <c r="BF116" s="312">
        <f t="shared" si="314"/>
        <v>0.03292181069958848</v>
      </c>
      <c r="BG116" s="312">
        <f t="shared" si="314"/>
        <v>0.070539419087136929</v>
      </c>
      <c r="BH116" s="881">
        <f>BH55/BH38</f>
        <v>0.1449814126394052</v>
      </c>
      <c r="BI116" s="1053">
        <v>0</v>
      </c>
      <c r="BJ116" s="1165">
        <f>BJ55/BJ38</f>
        <v>0.064490124949617089</v>
      </c>
      <c r="BK116" s="1053">
        <v>0</v>
      </c>
      <c r="BL116" s="1053">
        <v>0</v>
      </c>
      <c r="BM116" s="1053">
        <v>0</v>
      </c>
      <c r="BN116" s="1053">
        <v>0</v>
      </c>
      <c r="BO116" s="1165">
        <f>BO55/BO38</f>
        <v>0</v>
      </c>
      <c r="BP116" s="1166">
        <v>0</v>
      </c>
      <c r="BQ116" s="1166">
        <v>0</v>
      </c>
      <c r="BR116" s="1167">
        <v>0</v>
      </c>
      <c r="BS116" s="27"/>
    </row>
    <row r="117" spans="1:71" s="671" customFormat="1" ht="15">
      <c r="A117" s="490" t="s">
        <v>559</v>
      </c>
      <c r="B117" s="619"/>
      <c r="C117" s="1175"/>
      <c r="D117" s="1175"/>
      <c r="E117" s="1175">
        <f t="shared" si="315" ref="E117:AU117">E56/E38</f>
        <v>0</v>
      </c>
      <c r="F117" s="1175">
        <f t="shared" si="315"/>
        <v>0.45925925925925926</v>
      </c>
      <c r="G117" s="1175">
        <f t="shared" si="315"/>
        <v>0.36673773987206826</v>
      </c>
      <c r="H117" s="621">
        <f t="shared" si="315"/>
        <v>0.39316239316239315</v>
      </c>
      <c r="I117" s="621">
        <f t="shared" si="315"/>
        <v>0.36206896551724138</v>
      </c>
      <c r="J117" s="621">
        <f t="shared" si="315"/>
        <v>0.36521739130434783</v>
      </c>
      <c r="K117" s="621">
        <f t="shared" si="315"/>
        <v>0.38016528925619836</v>
      </c>
      <c r="L117" s="1175">
        <f t="shared" si="315"/>
        <v>0.37526652452025588</v>
      </c>
      <c r="M117" s="621">
        <f t="shared" si="315"/>
        <v>0.375</v>
      </c>
      <c r="N117" s="621">
        <f t="shared" si="315"/>
        <v>0.34108527131782945</v>
      </c>
      <c r="O117" s="621">
        <f t="shared" si="315"/>
        <v>0.33587786259541985</v>
      </c>
      <c r="P117" s="621">
        <f t="shared" si="315"/>
        <v>0.37226277372262773</v>
      </c>
      <c r="Q117" s="1175">
        <f t="shared" si="315"/>
        <v>0.35589941972920697</v>
      </c>
      <c r="R117" s="621">
        <f t="shared" si="315"/>
        <v>0.37121212121212122</v>
      </c>
      <c r="S117" s="621">
        <f t="shared" si="315"/>
        <v>0.35251798561151076</v>
      </c>
      <c r="T117" s="621">
        <f t="shared" si="315"/>
        <v>0.35172413793103446</v>
      </c>
      <c r="U117" s="621">
        <f t="shared" si="315"/>
        <v>0.36879432624113473</v>
      </c>
      <c r="V117" s="1175">
        <f t="shared" si="315"/>
        <v>0.3608617594254937</v>
      </c>
      <c r="W117" s="621">
        <f t="shared" si="315"/>
        <v>0.41496598639455784</v>
      </c>
      <c r="X117" s="621">
        <f t="shared" si="315"/>
        <v>0.3904109589041096</v>
      </c>
      <c r="Y117" s="621">
        <f t="shared" si="315"/>
        <v>0.59154929577464788</v>
      </c>
      <c r="Z117" s="621">
        <f t="shared" si="315"/>
        <v>0.32624113475177308</v>
      </c>
      <c r="AA117" s="1175">
        <f t="shared" si="315"/>
        <v>0.43055555555555558</v>
      </c>
      <c r="AB117" s="621">
        <f t="shared" si="315"/>
        <v>0.42281879194630873</v>
      </c>
      <c r="AC117" s="621">
        <f t="shared" si="315"/>
        <v>0.38993710691823902</v>
      </c>
      <c r="AD117" s="621">
        <f t="shared" si="315"/>
        <v>0.4563758389261745</v>
      </c>
      <c r="AE117" s="621">
        <f t="shared" si="315"/>
        <v>0.41134751773049644</v>
      </c>
      <c r="AF117" s="1175">
        <f t="shared" si="315"/>
        <v>0.4197324414715719</v>
      </c>
      <c r="AG117" s="621">
        <f t="shared" si="315"/>
        <v>0.42465753424657532</v>
      </c>
      <c r="AH117" s="621">
        <f t="shared" si="315"/>
        <v>0.38410596026490068</v>
      </c>
      <c r="AI117" s="621">
        <f t="shared" si="315"/>
        <v>0.34782608695652173</v>
      </c>
      <c r="AJ117" s="621">
        <f t="shared" si="315"/>
        <v>0.35526315789473684</v>
      </c>
      <c r="AK117" s="1175">
        <f t="shared" si="315"/>
        <v>0.37704918032786883</v>
      </c>
      <c r="AL117" s="621">
        <f t="shared" si="315"/>
        <v>0.39102564102564102</v>
      </c>
      <c r="AM117" s="621">
        <f t="shared" si="315"/>
        <v>0.52777777777777779</v>
      </c>
      <c r="AN117" s="621">
        <f t="shared" si="315"/>
        <v>0.45806451612903226</v>
      </c>
      <c r="AO117" s="621">
        <f t="shared" si="315"/>
        <v>0.39240506329113922</v>
      </c>
      <c r="AP117" s="1175">
        <f t="shared" si="315"/>
        <v>0.44045676998368677</v>
      </c>
      <c r="AQ117" s="621">
        <f t="shared" si="315"/>
        <v>0.38853503184713378</v>
      </c>
      <c r="AR117" s="621">
        <f t="shared" si="315"/>
        <v>0.40764331210191085</v>
      </c>
      <c r="AS117" s="621">
        <f t="shared" si="315"/>
        <v>0.45398773006134968</v>
      </c>
      <c r="AT117" s="621">
        <f t="shared" si="315"/>
        <v>0.39393939393939392</v>
      </c>
      <c r="AU117" s="1175">
        <f t="shared" si="315"/>
        <v>0.41121495327102803</v>
      </c>
      <c r="AV117" s="621">
        <f t="shared" si="316" ref="AV117:AZ117">AV56/AV38</f>
        <v>0.37423312883435583</v>
      </c>
      <c r="AW117" s="621">
        <f t="shared" si="316"/>
        <v>0.34502923976608185</v>
      </c>
      <c r="AX117" s="621">
        <f t="shared" si="316"/>
        <v>0.53216374269005851</v>
      </c>
      <c r="AY117" s="621">
        <f t="shared" si="316"/>
        <v>0.38341968911917096</v>
      </c>
      <c r="AZ117" s="1175">
        <f t="shared" si="316"/>
        <v>0.40830945558739257</v>
      </c>
      <c r="BA117" s="621">
        <f t="shared" si="317" ref="BA117:BR117">BA56/BA38</f>
        <v>0.37755102040816324</v>
      </c>
      <c r="BB117" s="621">
        <f t="shared" si="317"/>
        <v>0.46153846153846156</v>
      </c>
      <c r="BC117" s="621">
        <f t="shared" si="317"/>
        <v>0.44396551724137934</v>
      </c>
      <c r="BD117" s="621">
        <f t="shared" si="317"/>
        <v>0.38114754098360654</v>
      </c>
      <c r="BE117" s="1175">
        <f t="shared" si="317"/>
        <v>0.41522491349480967</v>
      </c>
      <c r="BF117" s="621">
        <f>BF56/BF38</f>
        <v>0.37860082304526749</v>
      </c>
      <c r="BG117" s="621">
        <f>BG56/BG38</f>
        <v>0.41908713692946059</v>
      </c>
      <c r="BH117" s="885">
        <f>BH56/BH38</f>
        <v>0.46096654275092935</v>
      </c>
      <c r="BI117" s="621">
        <f t="shared" si="317"/>
        <v>0.36</v>
      </c>
      <c r="BJ117" s="1175">
        <f t="shared" si="317"/>
        <v>0.40627166465135023</v>
      </c>
      <c r="BK117" s="621">
        <f t="shared" si="317"/>
        <v>0.35999999999999993</v>
      </c>
      <c r="BL117" s="621">
        <f t="shared" si="317"/>
        <v>0.36</v>
      </c>
      <c r="BM117" s="621">
        <f t="shared" si="317"/>
        <v>0.36</v>
      </c>
      <c r="BN117" s="621">
        <f t="shared" si="317"/>
        <v>0.36</v>
      </c>
      <c r="BO117" s="1175">
        <f t="shared" si="317"/>
        <v>0.36</v>
      </c>
      <c r="BP117" s="1175">
        <f t="shared" si="317"/>
        <v>0.36</v>
      </c>
      <c r="BQ117" s="1175">
        <f t="shared" si="317"/>
        <v>0.36</v>
      </c>
      <c r="BR117" s="1175">
        <f t="shared" si="317"/>
        <v>0.36</v>
      </c>
      <c r="BS117" s="27"/>
    </row>
    <row r="118" spans="1:71" s="671" customFormat="1" ht="15">
      <c r="A118" s="480" t="s">
        <v>560</v>
      </c>
      <c r="B118" s="493"/>
      <c r="C118" s="1163"/>
      <c r="D118" s="1163"/>
      <c r="E118" s="1163">
        <f t="shared" si="318" ref="E118:AU118">E57/E38</f>
        <v>0</v>
      </c>
      <c r="F118" s="1163">
        <f t="shared" si="318"/>
        <v>-0.07160493827160494</v>
      </c>
      <c r="G118" s="1163">
        <f t="shared" si="318"/>
        <v>-0.029850746268656716</v>
      </c>
      <c r="H118" s="494">
        <f t="shared" si="318"/>
        <v>-0.0085470085470085479</v>
      </c>
      <c r="I118" s="494">
        <f t="shared" si="318"/>
        <v>-0.017241379310344827</v>
      </c>
      <c r="J118" s="494">
        <f t="shared" si="318"/>
        <v>-0.086956521739130432</v>
      </c>
      <c r="K118" s="494">
        <f t="shared" si="318"/>
        <v>-0.033057851239669422</v>
      </c>
      <c r="L118" s="1163">
        <f t="shared" si="318"/>
        <v>-0.036247334754797439</v>
      </c>
      <c r="M118" s="494">
        <f t="shared" si="318"/>
        <v>-0.075</v>
      </c>
      <c r="N118" s="494">
        <f t="shared" si="318"/>
        <v>-0.062015503875968991</v>
      </c>
      <c r="O118" s="494">
        <f t="shared" si="318"/>
        <v>-0.061068702290076333</v>
      </c>
      <c r="P118" s="494">
        <f t="shared" si="318"/>
        <v>-0.036496350364963501</v>
      </c>
      <c r="Q118" s="1163">
        <f t="shared" si="318"/>
        <v>-0.058027079303675046</v>
      </c>
      <c r="R118" s="494">
        <f t="shared" si="318"/>
        <v>-0.030303030303030304</v>
      </c>
      <c r="S118" s="494">
        <f t="shared" si="318"/>
        <v>-0.050359712230215826</v>
      </c>
      <c r="T118" s="494">
        <f t="shared" si="318"/>
        <v>-0.041379310344827586</v>
      </c>
      <c r="U118" s="494">
        <f t="shared" si="318"/>
        <v>-0.042553191489361701</v>
      </c>
      <c r="V118" s="1163">
        <f t="shared" si="318"/>
        <v>-0.041292639138240578</v>
      </c>
      <c r="W118" s="494">
        <f t="shared" si="318"/>
        <v>-0.061224489795918366</v>
      </c>
      <c r="X118" s="494">
        <f t="shared" si="318"/>
        <v>-0.054794520547945202</v>
      </c>
      <c r="Y118" s="494">
        <f t="shared" si="318"/>
        <v>-0.035211267605633804</v>
      </c>
      <c r="Z118" s="494">
        <f t="shared" si="318"/>
        <v>0.0070921985815602835</v>
      </c>
      <c r="AA118" s="1163">
        <f t="shared" si="318"/>
        <v>-0.036458333333333336</v>
      </c>
      <c r="AB118" s="494">
        <f t="shared" si="318"/>
        <v>-0.020134228187919462</v>
      </c>
      <c r="AC118" s="494">
        <f t="shared" si="318"/>
        <v>-0.050314465408805034</v>
      </c>
      <c r="AD118" s="494">
        <f t="shared" si="318"/>
        <v>-0.053691275167785234</v>
      </c>
      <c r="AE118" s="494">
        <f t="shared" si="318"/>
        <v>-0.049645390070921988</v>
      </c>
      <c r="AF118" s="1163">
        <f t="shared" si="318"/>
        <v>-0.043478260869565216</v>
      </c>
      <c r="AG118" s="494">
        <f t="shared" si="318"/>
        <v>-0.041095890410958902</v>
      </c>
      <c r="AH118" s="494">
        <f t="shared" si="318"/>
        <v>-0.059602649006622516</v>
      </c>
      <c r="AI118" s="494">
        <f t="shared" si="318"/>
        <v>-0.055900621118012424</v>
      </c>
      <c r="AJ118" s="494">
        <f t="shared" si="318"/>
        <v>-0.092105263157894732</v>
      </c>
      <c r="AK118" s="1163">
        <f t="shared" si="318"/>
        <v>-0.062295081967213117</v>
      </c>
      <c r="AL118" s="494">
        <f t="shared" si="318"/>
        <v>-0.01282051282051282</v>
      </c>
      <c r="AM118" s="494">
        <f t="shared" si="318"/>
        <v>-0.076388888888888895</v>
      </c>
      <c r="AN118" s="494">
        <f t="shared" si="318"/>
        <v>-0.058064516129032261</v>
      </c>
      <c r="AO118" s="494">
        <f t="shared" si="318"/>
        <v>-0.037974683544303799</v>
      </c>
      <c r="AP118" s="1163">
        <f t="shared" si="318"/>
        <v>-0.045676998368678633</v>
      </c>
      <c r="AQ118" s="494">
        <f t="shared" si="318"/>
        <v>-0.050955414012738856</v>
      </c>
      <c r="AR118" s="494">
        <f t="shared" si="318"/>
        <v>-0.076433121019108277</v>
      </c>
      <c r="AS118" s="494">
        <f t="shared" si="318"/>
        <v>-0.11042944785276074</v>
      </c>
      <c r="AT118" s="494">
        <f t="shared" si="318"/>
        <v>-0.078787878787878782</v>
      </c>
      <c r="AU118" s="1163">
        <f t="shared" si="318"/>
        <v>-0.079439252336448593</v>
      </c>
      <c r="AV118" s="494">
        <f t="shared" si="319" ref="AV118:BA118">AV57/AV38</f>
        <v>-0.079754601226993863</v>
      </c>
      <c r="AW118" s="494">
        <f t="shared" si="319"/>
        <v>-0.08771929824561403</v>
      </c>
      <c r="AX118" s="494">
        <f t="shared" si="319"/>
        <v>-0.064327485380116955</v>
      </c>
      <c r="AY118" s="494">
        <f t="shared" si="319"/>
        <v>-0.04145077720207254</v>
      </c>
      <c r="AZ118" s="1163">
        <f t="shared" si="319"/>
        <v>-0.0673352435530086</v>
      </c>
      <c r="BA118" s="494">
        <f t="shared" si="319"/>
        <v>-0.015306122448979591</v>
      </c>
      <c r="BB118" s="494">
        <f t="shared" si="320" ref="BB118:BG118">BB57/BB38</f>
        <v>-0.056410256410256411</v>
      </c>
      <c r="BC118" s="494">
        <f t="shared" si="320"/>
        <v>-0.043103448275862072</v>
      </c>
      <c r="BD118" s="494">
        <f t="shared" si="320"/>
        <v>-0.032786885245901641</v>
      </c>
      <c r="BE118" s="1163">
        <f t="shared" si="320"/>
        <v>-0.03690888119953864</v>
      </c>
      <c r="BF118" s="494">
        <f t="shared" si="320"/>
        <v>0.024691358024691357</v>
      </c>
      <c r="BG118" s="494">
        <f t="shared" si="320"/>
        <v>0</v>
      </c>
      <c r="BH118" s="866">
        <f>BH57/BH38</f>
        <v>0</v>
      </c>
      <c r="BI118" s="1053">
        <v>0</v>
      </c>
      <c r="BJ118" s="1165">
        <f>BJ57/BJ38</f>
        <v>0.0060459492140266012</v>
      </c>
      <c r="BK118" s="1053">
        <v>0</v>
      </c>
      <c r="BL118" s="1053">
        <v>0</v>
      </c>
      <c r="BM118" s="1053">
        <v>0</v>
      </c>
      <c r="BN118" s="1053">
        <v>0</v>
      </c>
      <c r="BO118" s="1165">
        <f>BO57/BO38</f>
        <v>0</v>
      </c>
      <c r="BP118" s="1166">
        <v>0</v>
      </c>
      <c r="BQ118" s="1166">
        <v>0</v>
      </c>
      <c r="BR118" s="1167">
        <v>0</v>
      </c>
      <c r="BS118" s="27"/>
    </row>
    <row r="119" spans="1:71" s="671" customFormat="1" ht="15">
      <c r="A119" s="622" t="s">
        <v>91</v>
      </c>
      <c r="B119" s="619"/>
      <c r="C119" s="1175"/>
      <c r="D119" s="1175"/>
      <c r="E119" s="1175">
        <f t="shared" si="321" ref="E119:AK119">E58/E38</f>
        <v>0.37009803921568629</v>
      </c>
      <c r="F119" s="1175">
        <f t="shared" si="321"/>
        <v>0.38765432098765434</v>
      </c>
      <c r="G119" s="1175">
        <f t="shared" si="321"/>
        <v>0.33688699360341151</v>
      </c>
      <c r="H119" s="621">
        <f t="shared" si="321"/>
        <v>0.38461538461538464</v>
      </c>
      <c r="I119" s="621">
        <f t="shared" si="321"/>
        <v>0.34482758620689657</v>
      </c>
      <c r="J119" s="621">
        <f t="shared" si="321"/>
        <v>0.27826086956521739</v>
      </c>
      <c r="K119" s="621">
        <f t="shared" si="321"/>
        <v>0.34710743801652894</v>
      </c>
      <c r="L119" s="1175">
        <f t="shared" si="321"/>
        <v>0.33901918976545842</v>
      </c>
      <c r="M119" s="621">
        <f t="shared" si="321"/>
        <v>0.30</v>
      </c>
      <c r="N119" s="621">
        <f t="shared" si="321"/>
        <v>0.27906976744186046</v>
      </c>
      <c r="O119" s="621">
        <f t="shared" si="321"/>
        <v>0.27480916030534353</v>
      </c>
      <c r="P119" s="621">
        <f t="shared" si="321"/>
        <v>0.33576642335766421</v>
      </c>
      <c r="Q119" s="1175">
        <f t="shared" si="321"/>
        <v>0.2978723404255319</v>
      </c>
      <c r="R119" s="621">
        <f t="shared" si="321"/>
        <v>0.34090909090909088</v>
      </c>
      <c r="S119" s="621">
        <f t="shared" si="321"/>
        <v>0.30215827338129497</v>
      </c>
      <c r="T119" s="621">
        <f t="shared" si="321"/>
        <v>0.31034482758620691</v>
      </c>
      <c r="U119" s="621">
        <f t="shared" si="321"/>
        <v>0.32624113475177308</v>
      </c>
      <c r="V119" s="1175">
        <f t="shared" si="321"/>
        <v>0.31956912028725315</v>
      </c>
      <c r="W119" s="621">
        <f t="shared" si="321"/>
        <v>0.35374149659863946</v>
      </c>
      <c r="X119" s="621">
        <f t="shared" si="321"/>
        <v>0.33561643835616439</v>
      </c>
      <c r="Y119" s="621">
        <f t="shared" si="321"/>
        <v>0.55633802816901412</v>
      </c>
      <c r="Z119" s="621">
        <f t="shared" si="321"/>
        <v>0.33333333333333331</v>
      </c>
      <c r="AA119" s="1175">
        <f t="shared" si="321"/>
        <v>0.39409722222222221</v>
      </c>
      <c r="AB119" s="621">
        <f t="shared" si="321"/>
        <v>0.40268456375838924</v>
      </c>
      <c r="AC119" s="621">
        <f t="shared" si="321"/>
        <v>0.33962264150943394</v>
      </c>
      <c r="AD119" s="621">
        <f t="shared" si="321"/>
        <v>0.40268456375838924</v>
      </c>
      <c r="AE119" s="621">
        <f t="shared" si="321"/>
        <v>0.36170212765957449</v>
      </c>
      <c r="AF119" s="1175">
        <f t="shared" si="321"/>
        <v>0.37625418060200672</v>
      </c>
      <c r="AG119" s="621">
        <f t="shared" si="321"/>
        <v>0.38356164383561642</v>
      </c>
      <c r="AH119" s="621">
        <f t="shared" si="321"/>
        <v>0.32450331125827814</v>
      </c>
      <c r="AI119" s="621">
        <f t="shared" si="321"/>
        <v>0.29192546583850931</v>
      </c>
      <c r="AJ119" s="621">
        <f t="shared" si="321"/>
        <v>0.26315789473684209</v>
      </c>
      <c r="AK119" s="1175">
        <f t="shared" si="321"/>
        <v>0.31475409836065577</v>
      </c>
      <c r="AL119" s="621">
        <f t="shared" si="322" ref="AL119:AU119">AL58/AL38</f>
        <v>0.37820512820512819</v>
      </c>
      <c r="AM119" s="621">
        <f t="shared" si="322"/>
        <v>0.4513888888888889</v>
      </c>
      <c r="AN119" s="621">
        <f t="shared" si="322"/>
        <v>0.40</v>
      </c>
      <c r="AO119" s="621">
        <f t="shared" si="322"/>
        <v>0.35443037974683544</v>
      </c>
      <c r="AP119" s="1175">
        <f t="shared" si="322"/>
        <v>0.39477977161500816</v>
      </c>
      <c r="AQ119" s="621">
        <f t="shared" si="322"/>
        <v>0.33757961783439489</v>
      </c>
      <c r="AR119" s="621">
        <f t="shared" si="322"/>
        <v>0.33121019108280253</v>
      </c>
      <c r="AS119" s="621">
        <f t="shared" si="322"/>
        <v>0.34355828220858897</v>
      </c>
      <c r="AT119" s="621">
        <f t="shared" si="322"/>
        <v>0.31515151515151513</v>
      </c>
      <c r="AU119" s="1175">
        <f t="shared" si="322"/>
        <v>0.33177570093457942</v>
      </c>
      <c r="AV119" s="621">
        <f t="shared" si="323" ref="AV119:AZ119">AV58/AV38</f>
        <v>0.29447852760736198</v>
      </c>
      <c r="AW119" s="621">
        <f t="shared" si="323"/>
        <v>0.25730994152046782</v>
      </c>
      <c r="AX119" s="621">
        <f t="shared" si="323"/>
        <v>0.46783625730994149</v>
      </c>
      <c r="AY119" s="621">
        <f t="shared" si="323"/>
        <v>0.34196891191709844</v>
      </c>
      <c r="AZ119" s="1175">
        <f t="shared" si="323"/>
        <v>0.34097421203438394</v>
      </c>
      <c r="BA119" s="621">
        <f t="shared" si="324" ref="BA119:BC120">BA58/BA38</f>
        <v>0.36224489795918369</v>
      </c>
      <c r="BB119" s="621">
        <f t="shared" si="324"/>
        <v>0.40512820512820513</v>
      </c>
      <c r="BC119" s="621">
        <f t="shared" si="324"/>
        <v>0.40086206896551724</v>
      </c>
      <c r="BD119" s="621">
        <f t="shared" si="325" ref="BD119:BR119">BD58/BD38</f>
        <v>0.34836065573770492</v>
      </c>
      <c r="BE119" s="1175">
        <f t="shared" si="325"/>
        <v>0.37831603229527105</v>
      </c>
      <c r="BF119" s="621">
        <f t="shared" si="326" ref="BF119:BH120">BF58/BF38</f>
        <v>0.40329218106995884</v>
      </c>
      <c r="BG119" s="621">
        <f t="shared" si="326"/>
        <v>0.41908713692946059</v>
      </c>
      <c r="BH119" s="885">
        <f t="shared" si="326"/>
        <v>0.46096654275092935</v>
      </c>
      <c r="BI119" s="621">
        <f t="shared" si="325"/>
        <v>0.36</v>
      </c>
      <c r="BJ119" s="1175">
        <f t="shared" si="325"/>
        <v>0.41231761386537685</v>
      </c>
      <c r="BK119" s="621">
        <f t="shared" si="325"/>
        <v>0.35999999999999993</v>
      </c>
      <c r="BL119" s="621">
        <f t="shared" si="325"/>
        <v>0.36</v>
      </c>
      <c r="BM119" s="621">
        <f t="shared" si="325"/>
        <v>0.36</v>
      </c>
      <c r="BN119" s="621">
        <f t="shared" si="325"/>
        <v>0.36</v>
      </c>
      <c r="BO119" s="1175">
        <f t="shared" si="325"/>
        <v>0.36</v>
      </c>
      <c r="BP119" s="1175">
        <f t="shared" si="325"/>
        <v>0.36</v>
      </c>
      <c r="BQ119" s="1175">
        <f t="shared" si="325"/>
        <v>0.36</v>
      </c>
      <c r="BR119" s="1175">
        <f t="shared" si="325"/>
        <v>0.36</v>
      </c>
      <c r="BS119" s="27"/>
    </row>
    <row r="120" spans="1:71" s="671" customFormat="1" ht="15">
      <c r="A120" s="49" t="s">
        <v>92</v>
      </c>
      <c r="B120" s="495"/>
      <c r="C120" s="1168"/>
      <c r="D120" s="1168"/>
      <c r="E120" s="1169">
        <f t="shared" si="327" ref="E120:AK120">E59/E39</f>
        <v>0.37313432835820898</v>
      </c>
      <c r="F120" s="1169">
        <f t="shared" si="327"/>
        <v>0.40845070422535212</v>
      </c>
      <c r="G120" s="1169">
        <f t="shared" si="327"/>
        <v>0.32911392405063289</v>
      </c>
      <c r="H120" s="52">
        <f t="shared" si="327"/>
        <v>0.43478260869565216</v>
      </c>
      <c r="I120" s="52">
        <f t="shared" si="327"/>
        <v>0.58333333333333337</v>
      </c>
      <c r="J120" s="52">
        <f t="shared" si="327"/>
        <v>0.40740740740740738</v>
      </c>
      <c r="K120" s="52">
        <f t="shared" si="327"/>
        <v>0.50</v>
      </c>
      <c r="L120" s="1169">
        <f t="shared" si="327"/>
        <v>0.48</v>
      </c>
      <c r="M120" s="52">
        <f t="shared" si="327"/>
        <v>0.56521739130434778</v>
      </c>
      <c r="N120" s="52">
        <f t="shared" si="327"/>
        <v>0.50</v>
      </c>
      <c r="O120" s="52">
        <f t="shared" si="327"/>
        <v>0.27272727272727271</v>
      </c>
      <c r="P120" s="52">
        <f t="shared" si="327"/>
        <v>0.57692307692307687</v>
      </c>
      <c r="Q120" s="1169">
        <f t="shared" si="327"/>
        <v>0.4845360824742268</v>
      </c>
      <c r="R120" s="52">
        <f t="shared" si="327"/>
        <v>0.52</v>
      </c>
      <c r="S120" s="52">
        <f t="shared" si="327"/>
        <v>0.50</v>
      </c>
      <c r="T120" s="52">
        <f t="shared" si="327"/>
        <v>0.625</v>
      </c>
      <c r="U120" s="52">
        <f t="shared" si="327"/>
        <v>0.5714285714285714</v>
      </c>
      <c r="V120" s="1169">
        <f t="shared" si="327"/>
        <v>0.55339805825242716</v>
      </c>
      <c r="W120" s="52">
        <f t="shared" si="327"/>
        <v>0.68</v>
      </c>
      <c r="X120" s="52">
        <f t="shared" si="327"/>
        <v>0.56000000000000005</v>
      </c>
      <c r="Y120" s="52">
        <f t="shared" si="327"/>
        <v>0.56666666666666665</v>
      </c>
      <c r="Z120" s="52">
        <f t="shared" si="327"/>
        <v>0.88461538461538458</v>
      </c>
      <c r="AA120" s="1169">
        <f t="shared" si="327"/>
        <v>0.66981132075471694</v>
      </c>
      <c r="AB120" s="52">
        <f t="shared" si="327"/>
        <v>0.51724137931034486</v>
      </c>
      <c r="AC120" s="52">
        <f t="shared" si="327"/>
        <v>0.63636363636363635</v>
      </c>
      <c r="AD120" s="52">
        <f t="shared" si="327"/>
        <v>0.69444444444444442</v>
      </c>
      <c r="AE120" s="52">
        <f t="shared" si="327"/>
        <v>0.78378378378378377</v>
      </c>
      <c r="AF120" s="1169">
        <f t="shared" si="327"/>
        <v>0.66666666666666663</v>
      </c>
      <c r="AG120" s="52">
        <f t="shared" si="327"/>
        <v>0.59459459459459463</v>
      </c>
      <c r="AH120" s="52">
        <f t="shared" si="327"/>
        <v>0.94444444444444442</v>
      </c>
      <c r="AI120" s="52">
        <f t="shared" si="327"/>
        <v>0.65</v>
      </c>
      <c r="AJ120" s="52">
        <f t="shared" si="327"/>
        <v>0.83783783783783783</v>
      </c>
      <c r="AK120" s="1169">
        <f t="shared" si="327"/>
        <v>0.7533333333333333</v>
      </c>
      <c r="AL120" s="52">
        <f t="shared" si="328" ref="AL120:AV120">AL59/AL39</f>
        <v>0.27027027027027029</v>
      </c>
      <c r="AM120" s="52">
        <f t="shared" si="328"/>
        <v>0.31067961165048541</v>
      </c>
      <c r="AN120" s="52">
        <f t="shared" si="328"/>
        <v>0.42391304347826086</v>
      </c>
      <c r="AO120" s="52">
        <f t="shared" si="328"/>
        <v>0.7567567567567568</v>
      </c>
      <c r="AP120" s="1169">
        <f t="shared" si="328"/>
        <v>0.41315789473684211</v>
      </c>
      <c r="AQ120" s="52">
        <f t="shared" si="328"/>
        <v>0.62745098039215685</v>
      </c>
      <c r="AR120" s="52">
        <f t="shared" si="328"/>
        <v>0.67307692307692313</v>
      </c>
      <c r="AS120" s="52">
        <f t="shared" si="328"/>
        <v>0.86792452830188682</v>
      </c>
      <c r="AT120" s="52">
        <f t="shared" si="328"/>
        <v>0.62962962962962965</v>
      </c>
      <c r="AU120" s="1169">
        <f t="shared" si="328"/>
        <v>0.70</v>
      </c>
      <c r="AV120" s="52">
        <f t="shared" si="328"/>
        <v>0.77192982456140347</v>
      </c>
      <c r="AW120" s="52">
        <f>AW59/AW39</f>
        <v>0.80</v>
      </c>
      <c r="AX120" s="52">
        <f>AX59/AX39</f>
        <v>0.90322580645161288</v>
      </c>
      <c r="AY120" s="52">
        <f>AY59/AY39</f>
        <v>0.82258064516129037</v>
      </c>
      <c r="AZ120" s="1169">
        <f>AZ59/AZ39</f>
        <v>0.82572614107883813</v>
      </c>
      <c r="BA120" s="52">
        <f t="shared" si="324"/>
        <v>0.67741935483870963</v>
      </c>
      <c r="BB120" s="52">
        <f t="shared" si="324"/>
        <v>0.89552238805970152</v>
      </c>
      <c r="BC120" s="52">
        <f t="shared" si="324"/>
        <v>0.75409836065573765</v>
      </c>
      <c r="BD120" s="52">
        <f>BD59/BD39</f>
        <v>0.85507246376811596</v>
      </c>
      <c r="BE120" s="1169">
        <f>BE59/BE39</f>
        <v>0.79922779922779918</v>
      </c>
      <c r="BF120" s="52">
        <f t="shared" si="326"/>
        <v>0.78333333333333333</v>
      </c>
      <c r="BG120" s="52">
        <f t="shared" si="326"/>
        <v>0.95161290322580649</v>
      </c>
      <c r="BH120" s="882">
        <f t="shared" si="326"/>
        <v>0.88524590163934425</v>
      </c>
      <c r="BI120" s="1056">
        <v>0.68</v>
      </c>
      <c r="BJ120" s="1168">
        <f>BJ59/BJ39</f>
        <v>0.83004219409282698</v>
      </c>
      <c r="BK120" s="1056">
        <v>0.68</v>
      </c>
      <c r="BL120" s="1056">
        <v>0.68</v>
      </c>
      <c r="BM120" s="1056">
        <v>0.68</v>
      </c>
      <c r="BN120" s="1056">
        <v>0.68</v>
      </c>
      <c r="BO120" s="1168">
        <f>BO59/BO39</f>
        <v>0.68000000000000016</v>
      </c>
      <c r="BP120" s="1170">
        <v>0.68</v>
      </c>
      <c r="BQ120" s="1170">
        <v>0.68</v>
      </c>
      <c r="BR120" s="1170">
        <v>0.68</v>
      </c>
      <c r="BS120" s="27"/>
    </row>
    <row r="121" spans="1:71" s="670" customFormat="1" ht="15">
      <c r="A121" s="361" t="s">
        <v>93</v>
      </c>
      <c r="B121" s="496"/>
      <c r="C121" s="1171"/>
      <c r="D121" s="1171"/>
      <c r="E121" s="1172">
        <f t="shared" si="329" ref="E121:AK121">ROUND(INDEX(MO_UI_Loss,0,COLUMN())/INDEX(MO_UI_NEP,0,COLUMN()),6)</f>
        <v>0.63211300000000004</v>
      </c>
      <c r="F121" s="1172">
        <f t="shared" si="329"/>
        <v>0.65788500000000005</v>
      </c>
      <c r="G121" s="1172">
        <f t="shared" si="329"/>
        <v>0.63670400000000005</v>
      </c>
      <c r="H121" s="69">
        <f t="shared" si="329"/>
        <v>0.56896599999999997</v>
      </c>
      <c r="I121" s="69">
        <f t="shared" si="329"/>
        <v>0.646617</v>
      </c>
      <c r="J121" s="69">
        <f t="shared" si="329"/>
        <v>0.69257999999999997</v>
      </c>
      <c r="K121" s="69">
        <f t="shared" si="329"/>
        <v>0.63996200000000003</v>
      </c>
      <c r="L121" s="1172">
        <f t="shared" si="329"/>
        <v>0.64311499999999999</v>
      </c>
      <c r="M121" s="69">
        <f t="shared" si="329"/>
        <v>0.60887899999999995</v>
      </c>
      <c r="N121" s="69">
        <f t="shared" si="329"/>
        <v>0.61015200000000003</v>
      </c>
      <c r="O121" s="69">
        <f t="shared" si="329"/>
        <v>0.70332499999999998</v>
      </c>
      <c r="P121" s="69">
        <f t="shared" si="329"/>
        <v>0.61875</v>
      </c>
      <c r="Q121" s="1172">
        <f t="shared" si="329"/>
        <v>0.63802099999999995</v>
      </c>
      <c r="R121" s="69">
        <f t="shared" si="329"/>
        <v>0.58216400000000001</v>
      </c>
      <c r="S121" s="69">
        <f t="shared" si="329"/>
        <v>0.66893899999999995</v>
      </c>
      <c r="T121" s="69">
        <f t="shared" si="329"/>
        <v>0.66005199999999997</v>
      </c>
      <c r="U121" s="69">
        <f t="shared" si="329"/>
        <v>0.63723799999999997</v>
      </c>
      <c r="V121" s="1172">
        <f t="shared" si="329"/>
        <v>0.63817000000000002</v>
      </c>
      <c r="W121" s="69">
        <f t="shared" si="329"/>
        <v>0.59589000000000003</v>
      </c>
      <c r="X121" s="69">
        <f t="shared" si="329"/>
        <v>0.596244</v>
      </c>
      <c r="Y121" s="69">
        <f t="shared" si="329"/>
        <v>0.78532000000000002</v>
      </c>
      <c r="Z121" s="69">
        <f t="shared" si="329"/>
        <v>0.58448999999999995</v>
      </c>
      <c r="AA121" s="1172">
        <f t="shared" si="329"/>
        <v>0.64533700000000005</v>
      </c>
      <c r="AB121" s="69">
        <f t="shared" si="329"/>
        <v>0.57904199999999995</v>
      </c>
      <c r="AC121" s="69">
        <f t="shared" si="329"/>
        <v>0.59689899999999996</v>
      </c>
      <c r="AD121" s="69">
        <f t="shared" si="329"/>
        <v>0.65712099999999996</v>
      </c>
      <c r="AE121" s="69">
        <f t="shared" si="329"/>
        <v>0.62755899999999998</v>
      </c>
      <c r="AF121" s="1172">
        <f t="shared" si="329"/>
        <v>0.61726599999999998</v>
      </c>
      <c r="AG121" s="69">
        <f t="shared" si="329"/>
        <v>0.58994000000000002</v>
      </c>
      <c r="AH121" s="69">
        <f t="shared" si="329"/>
        <v>0.60250000000000004</v>
      </c>
      <c r="AI121" s="69">
        <f t="shared" si="329"/>
        <v>0.65464599999999995</v>
      </c>
      <c r="AJ121" s="69">
        <f t="shared" si="329"/>
        <v>0.66569299999999998</v>
      </c>
      <c r="AK121" s="1172">
        <f t="shared" si="329"/>
        <v>0.63085800000000003</v>
      </c>
      <c r="AL121" s="69">
        <f t="shared" si="330" ref="AL121:AQ121">ROUND(INDEX(MO_UI_Loss,0,COLUMN())/INDEX(MO_UI_NEP,0,COLUMN()),6)</f>
        <v>0.584781</v>
      </c>
      <c r="AM121" s="69">
        <f t="shared" si="330"/>
        <v>0.65118200000000004</v>
      </c>
      <c r="AN121" s="69">
        <f t="shared" si="330"/>
        <v>0.69732099999999997</v>
      </c>
      <c r="AO121" s="69">
        <f t="shared" si="330"/>
        <v>0.62641500000000006</v>
      </c>
      <c r="AP121" s="1172">
        <f t="shared" si="330"/>
        <v>0.64149800000000001</v>
      </c>
      <c r="AQ121" s="69">
        <f t="shared" si="330"/>
        <v>0.56862699999999999</v>
      </c>
      <c r="AR121" s="69">
        <f t="shared" si="331" ref="AR121:AW121">ROUND(INDEX(MO_UI_Loss,0,COLUMN())/INDEX(MO_UI_NEP,0,COLUMN()),6)</f>
        <v>0.57040000000000002</v>
      </c>
      <c r="AS121" s="69">
        <f t="shared" si="331"/>
        <v>0.62328300000000003</v>
      </c>
      <c r="AT121" s="69">
        <f t="shared" si="331"/>
        <v>0.56473799999999996</v>
      </c>
      <c r="AU121" s="1172">
        <f t="shared" si="331"/>
        <v>0.583457</v>
      </c>
      <c r="AV121" s="69">
        <f t="shared" si="331"/>
        <v>0.53149000000000002</v>
      </c>
      <c r="AW121" s="69">
        <f t="shared" si="331"/>
        <v>0.55491699999999999</v>
      </c>
      <c r="AX121" s="69">
        <f t="shared" si="332" ref="AX121:BJ121">ROUND(INDEX(MO_UI_Loss,0,COLUMN())/INDEX(MO_UI_NEP,0,COLUMN()),6)</f>
        <v>0.66383700000000001</v>
      </c>
      <c r="AY121" s="69">
        <f t="shared" si="332"/>
        <v>0.60813300000000003</v>
      </c>
      <c r="AZ121" s="1172">
        <f t="shared" si="332"/>
        <v>0.59572700000000001</v>
      </c>
      <c r="BA121" s="69">
        <f t="shared" si="333" ref="BA121:BI121">ROUND(INDEX(MO_UI_Loss,0,COLUMN())/INDEX(MO_UI_NEP,0,COLUMN()),6)</f>
        <v>0.56993700000000003</v>
      </c>
      <c r="BB121" s="69">
        <f t="shared" si="333"/>
        <v>0.60119400000000001</v>
      </c>
      <c r="BC121" s="69">
        <f t="shared" si="333"/>
        <v>0.66738500000000001</v>
      </c>
      <c r="BD121" s="69">
        <f t="shared" si="333"/>
        <v>0.60738999999999999</v>
      </c>
      <c r="BE121" s="1172">
        <f t="shared" si="333"/>
        <v>0.61475999999999997</v>
      </c>
      <c r="BF121" s="69">
        <f>ROUND(INDEX(MO_UI_Loss,0,COLUMN())/INDEX(MO_UI_NEP,0,COLUMN()),6)</f>
        <v>0.58602799999999999</v>
      </c>
      <c r="BG121" s="69">
        <f>ROUND(INDEX(MO_UI_Loss,0,COLUMN())/INDEX(MO_UI_NEP,0,COLUMN()),6)</f>
        <v>0.59053599999999995</v>
      </c>
      <c r="BH121" s="883">
        <f>ROUND(INDEX(MO_UI_Loss,0,COLUMN())/INDEX(MO_UI_NEP,0,COLUMN()),6)</f>
        <v>0.69489100000000004</v>
      </c>
      <c r="BI121" s="757">
        <f t="shared" si="333"/>
        <v>0.601495</v>
      </c>
      <c r="BJ121" s="1171">
        <f t="shared" si="332"/>
        <v>0.62425399999999998</v>
      </c>
      <c r="BK121" s="757">
        <f t="shared" si="334" ref="BK121:BR121">ROUND(INDEX(MO_UI_Loss,0,COLUMN())/INDEX(MO_UI_NEP,0,COLUMN()),6)</f>
        <v>0.55338399999999999</v>
      </c>
      <c r="BL121" s="757">
        <f t="shared" si="334"/>
        <v>0.58710600000000002</v>
      </c>
      <c r="BM121" s="757">
        <f t="shared" si="334"/>
        <v>0.58661099999999999</v>
      </c>
      <c r="BN121" s="757">
        <f t="shared" si="334"/>
        <v>0.53402700000000003</v>
      </c>
      <c r="BO121" s="1171">
        <f t="shared" si="334"/>
        <v>0.56574100000000005</v>
      </c>
      <c r="BP121" s="1171">
        <f t="shared" si="334"/>
        <v>0.58944099999999999</v>
      </c>
      <c r="BQ121" s="1171">
        <f t="shared" si="334"/>
        <v>0.59221500000000005</v>
      </c>
      <c r="BR121" s="1171">
        <f t="shared" si="334"/>
        <v>0.59128400000000003</v>
      </c>
      <c r="BS121" s="29"/>
    </row>
    <row r="122" spans="1:71" s="671" customFormat="1" ht="15">
      <c r="A122" s="163" t="s">
        <v>94</v>
      </c>
      <c r="B122" s="493"/>
      <c r="C122" s="1163"/>
      <c r="D122" s="1163"/>
      <c r="E122" s="1164">
        <f t="shared" si="335" ref="E122:AK122">E64/E36</f>
        <v>0.221671388101983</v>
      </c>
      <c r="F122" s="1164">
        <f t="shared" si="335"/>
        <v>0.24033731553056922</v>
      </c>
      <c r="G122" s="1164">
        <f t="shared" si="335"/>
        <v>0.24128862590401051</v>
      </c>
      <c r="H122" s="312">
        <f t="shared" si="335"/>
        <v>0.3122923588039867</v>
      </c>
      <c r="I122" s="312">
        <f t="shared" si="335"/>
        <v>0.29012345679012347</v>
      </c>
      <c r="J122" s="312">
        <f t="shared" si="335"/>
        <v>0.17063492063492064</v>
      </c>
      <c r="K122" s="312">
        <f t="shared" si="335"/>
        <v>0.22650602409638554</v>
      </c>
      <c r="L122" s="1164">
        <f t="shared" si="335"/>
        <v>0.23834196891191708</v>
      </c>
      <c r="M122" s="312">
        <f t="shared" si="335"/>
        <v>0.30351437699680511</v>
      </c>
      <c r="N122" s="312">
        <f t="shared" si="335"/>
        <v>0.3058103975535168</v>
      </c>
      <c r="O122" s="312">
        <f t="shared" si="335"/>
        <v>0.20502901353965183</v>
      </c>
      <c r="P122" s="312">
        <f t="shared" si="335"/>
        <v>0.20588235294117646</v>
      </c>
      <c r="Q122" s="1164">
        <f t="shared" si="335"/>
        <v>0.24515322076297685</v>
      </c>
      <c r="R122" s="312">
        <f t="shared" si="335"/>
        <v>0.2831858407079646</v>
      </c>
      <c r="S122" s="312">
        <f t="shared" si="335"/>
        <v>0.28767123287671231</v>
      </c>
      <c r="T122" s="312">
        <f t="shared" si="335"/>
        <v>0.2231237322515213</v>
      </c>
      <c r="U122" s="312">
        <f t="shared" si="335"/>
        <v>0.15268817204301074</v>
      </c>
      <c r="V122" s="1164">
        <f t="shared" si="335"/>
        <v>0.22984356197352587</v>
      </c>
      <c r="W122" s="312">
        <f t="shared" si="335"/>
        <v>0.26608187134502925</v>
      </c>
      <c r="X122" s="312">
        <f t="shared" si="335"/>
        <v>0.29131652661064428</v>
      </c>
      <c r="Y122" s="312">
        <f t="shared" si="335"/>
        <v>0.21631878557874762</v>
      </c>
      <c r="Z122" s="312">
        <f t="shared" si="335"/>
        <v>0.15670103092783505</v>
      </c>
      <c r="AA122" s="1164">
        <f t="shared" si="335"/>
        <v>0.22501461133839859</v>
      </c>
      <c r="AB122" s="312">
        <f t="shared" si="335"/>
        <v>0.27714285714285714</v>
      </c>
      <c r="AC122" s="312">
        <f t="shared" si="335"/>
        <v>0.29946524064171121</v>
      </c>
      <c r="AD122" s="312">
        <f t="shared" si="335"/>
        <v>0.22813688212927757</v>
      </c>
      <c r="AE122" s="312">
        <f t="shared" si="335"/>
        <v>0.1837160751565762</v>
      </c>
      <c r="AF122" s="1164">
        <f t="shared" si="335"/>
        <v>0.24117987275882014</v>
      </c>
      <c r="AG122" s="312">
        <f t="shared" si="335"/>
        <v>0.26869806094182824</v>
      </c>
      <c r="AH122" s="312">
        <f t="shared" si="335"/>
        <v>0.30606860158311344</v>
      </c>
      <c r="AI122" s="312">
        <f t="shared" si="335"/>
        <v>0.21269296740994853</v>
      </c>
      <c r="AJ122" s="312">
        <f t="shared" si="335"/>
        <v>0.22772277227722773</v>
      </c>
      <c r="AK122" s="1164">
        <f t="shared" si="335"/>
        <v>0.24726477024070023</v>
      </c>
      <c r="AL122" s="312">
        <f t="shared" si="336" ref="AL122:AV122">AL64/AL36</f>
        <v>0.31606217616580312</v>
      </c>
      <c r="AM122" s="312">
        <f t="shared" si="336"/>
        <v>0.30256410256410254</v>
      </c>
      <c r="AN122" s="312">
        <f t="shared" si="336"/>
        <v>0.21602787456445993</v>
      </c>
      <c r="AO122" s="312">
        <f t="shared" si="336"/>
        <v>0.22648752399232247</v>
      </c>
      <c r="AP122" s="1164">
        <f t="shared" si="336"/>
        <v>0.25761624799572419</v>
      </c>
      <c r="AQ122" s="312">
        <f t="shared" si="336"/>
        <v>0.29695431472081218</v>
      </c>
      <c r="AR122" s="312">
        <f t="shared" si="336"/>
        <v>0.282560706401766</v>
      </c>
      <c r="AS122" s="312">
        <f t="shared" si="336"/>
        <v>0.19857142857142857</v>
      </c>
      <c r="AT122" s="312">
        <f t="shared" si="336"/>
        <v>0.14572864321608039</v>
      </c>
      <c r="AU122" s="1164">
        <f t="shared" si="336"/>
        <v>0.21968283582089551</v>
      </c>
      <c r="AV122" s="312">
        <f t="shared" si="336"/>
        <v>0.28216704288939054</v>
      </c>
      <c r="AW122" s="312">
        <f t="shared" si="337" ref="AW122:AX125">AW64/AW36</f>
        <v>0.27524752475247527</v>
      </c>
      <c r="AX122" s="312">
        <f t="shared" si="337"/>
        <v>0.18086347724620769</v>
      </c>
      <c r="AY122" s="312">
        <f t="shared" si="338" ref="AY122:AZ125">AY64/AY36</f>
        <v>0.18328445747800587</v>
      </c>
      <c r="AZ122" s="1164">
        <f t="shared" si="338"/>
        <v>0.21873743466023321</v>
      </c>
      <c r="BA122" s="312">
        <f t="shared" si="339" ref="BA122:BB125">BA64/BA36</f>
        <v>0.30105263157894735</v>
      </c>
      <c r="BB122" s="312">
        <f t="shared" si="339"/>
        <v>0.29213483146067415</v>
      </c>
      <c r="BC122" s="312">
        <f t="shared" si="340" ref="BC122:BE125">BC64/BC36</f>
        <v>0.18115942028985507</v>
      </c>
      <c r="BD122" s="312">
        <f t="shared" si="340"/>
        <v>0.21260997067448681</v>
      </c>
      <c r="BE122" s="1164">
        <f t="shared" si="340"/>
        <v>0.23580786026200873</v>
      </c>
      <c r="BF122" s="312">
        <f t="shared" si="341" ref="BF122:BG125">BF64/BF36</f>
        <v>0.2982456140350877</v>
      </c>
      <c r="BG122" s="312">
        <f t="shared" si="341"/>
        <v>0.287292817679558</v>
      </c>
      <c r="BH122" s="881">
        <f>BH64/BH36</f>
        <v>0.17329255861365953</v>
      </c>
      <c r="BI122" s="1053">
        <v>0.22</v>
      </c>
      <c r="BJ122" s="1165">
        <f>BJ64/BJ36</f>
        <v>0.23222391325410474</v>
      </c>
      <c r="BK122" s="1053">
        <v>0.22</v>
      </c>
      <c r="BL122" s="1053">
        <v>0.22</v>
      </c>
      <c r="BM122" s="1053">
        <v>0.22</v>
      </c>
      <c r="BN122" s="1053">
        <v>0.22</v>
      </c>
      <c r="BO122" s="1165">
        <f>BO64/BO36</f>
        <v>0.21999999999999997</v>
      </c>
      <c r="BP122" s="1166">
        <v>0.22</v>
      </c>
      <c r="BQ122" s="1166">
        <v>0.22</v>
      </c>
      <c r="BR122" s="1167">
        <v>0.22</v>
      </c>
      <c r="BS122" s="27"/>
    </row>
    <row r="123" spans="1:71" s="671" customFormat="1" ht="15">
      <c r="A123" s="163" t="s">
        <v>95</v>
      </c>
      <c r="B123" s="493"/>
      <c r="C123" s="1163"/>
      <c r="D123" s="1163"/>
      <c r="E123" s="1164">
        <f t="shared" si="342" ref="E123:AK123">E65/E37</f>
        <v>0.35091743119266056</v>
      </c>
      <c r="F123" s="1164">
        <f t="shared" si="342"/>
        <v>0.33122362869198313</v>
      </c>
      <c r="G123" s="1164">
        <f t="shared" si="342"/>
        <v>0.33480176211453744</v>
      </c>
      <c r="H123" s="312">
        <f t="shared" si="342"/>
        <v>0.32907348242811502</v>
      </c>
      <c r="I123" s="312">
        <f t="shared" si="342"/>
        <v>0.29336188436830835</v>
      </c>
      <c r="J123" s="312">
        <f t="shared" si="342"/>
        <v>0.29629629629629628</v>
      </c>
      <c r="K123" s="312">
        <f t="shared" si="342"/>
        <v>0.27655310621242485</v>
      </c>
      <c r="L123" s="1164">
        <f t="shared" si="342"/>
        <v>0.29575070821529748</v>
      </c>
      <c r="M123" s="312">
        <f t="shared" si="342"/>
        <v>0.29795918367346941</v>
      </c>
      <c r="N123" s="312">
        <f t="shared" si="342"/>
        <v>0.30815109343936381</v>
      </c>
      <c r="O123" s="312">
        <f t="shared" si="342"/>
        <v>0.29622266401590458</v>
      </c>
      <c r="P123" s="312">
        <f t="shared" si="342"/>
        <v>0.29126213592233008</v>
      </c>
      <c r="Q123" s="1164">
        <f t="shared" si="342"/>
        <v>0.29835902536051717</v>
      </c>
      <c r="R123" s="312">
        <f t="shared" si="342"/>
        <v>0.31872509960159362</v>
      </c>
      <c r="S123" s="312">
        <f t="shared" si="342"/>
        <v>0.29175050301810868</v>
      </c>
      <c r="T123" s="312">
        <f t="shared" si="342"/>
        <v>0.30985915492957744</v>
      </c>
      <c r="U123" s="312">
        <f t="shared" si="342"/>
        <v>0.29215686274509806</v>
      </c>
      <c r="V123" s="1164">
        <f t="shared" si="342"/>
        <v>0.30309072781655033</v>
      </c>
      <c r="W123" s="312">
        <f t="shared" si="342"/>
        <v>0.31889763779527558</v>
      </c>
      <c r="X123" s="312">
        <f t="shared" si="342"/>
        <v>0.31471135940409684</v>
      </c>
      <c r="Y123" s="312">
        <f t="shared" si="342"/>
        <v>0.28873239436619719</v>
      </c>
      <c r="Z123" s="312">
        <f t="shared" si="342"/>
        <v>0.30890052356020942</v>
      </c>
      <c r="AA123" s="1164">
        <f t="shared" si="342"/>
        <v>0.30741079597438242</v>
      </c>
      <c r="AB123" s="312">
        <f t="shared" si="342"/>
        <v>0.33333333333333331</v>
      </c>
      <c r="AC123" s="312">
        <f t="shared" si="342"/>
        <v>0.31596638655462184</v>
      </c>
      <c r="AD123" s="312">
        <f t="shared" si="342"/>
        <v>0.32954545454545453</v>
      </c>
      <c r="AE123" s="312">
        <f t="shared" si="342"/>
        <v>0.32952691680261009</v>
      </c>
      <c r="AF123" s="1164">
        <f t="shared" si="342"/>
        <v>0.32709113607990015</v>
      </c>
      <c r="AG123" s="312">
        <f t="shared" si="342"/>
        <v>0.32591414944356123</v>
      </c>
      <c r="AH123" s="312">
        <f t="shared" si="342"/>
        <v>0.32649842271293378</v>
      </c>
      <c r="AI123" s="312">
        <f t="shared" si="342"/>
        <v>0.33282674772036475</v>
      </c>
      <c r="AJ123" s="312">
        <f t="shared" si="342"/>
        <v>0.30325443786982248</v>
      </c>
      <c r="AK123" s="1164">
        <f t="shared" si="342"/>
        <v>0.32190989603388526</v>
      </c>
      <c r="AL123" s="312">
        <f t="shared" si="343" ref="AL123:AV123">AL65/AL37</f>
        <v>0.29496402877697842</v>
      </c>
      <c r="AM123" s="312">
        <f t="shared" si="343"/>
        <v>0.27970749542961609</v>
      </c>
      <c r="AN123" s="312">
        <f t="shared" si="343"/>
        <v>0.2767857142857143</v>
      </c>
      <c r="AO123" s="312">
        <f t="shared" si="343"/>
        <v>0.25174825174825177</v>
      </c>
      <c r="AP123" s="1164">
        <f t="shared" si="343"/>
        <v>0.27561521252796423</v>
      </c>
      <c r="AQ123" s="312">
        <f t="shared" si="343"/>
        <v>0.26970227670753066</v>
      </c>
      <c r="AR123" s="312">
        <f t="shared" si="343"/>
        <v>0.26190476190476192</v>
      </c>
      <c r="AS123" s="312">
        <f t="shared" si="343"/>
        <v>0.27406199021207178</v>
      </c>
      <c r="AT123" s="312">
        <f t="shared" si="343"/>
        <v>0.24528301886792453</v>
      </c>
      <c r="AU123" s="1164">
        <f t="shared" si="343"/>
        <v>0.26245847176079734</v>
      </c>
      <c r="AV123" s="312">
        <f t="shared" si="343"/>
        <v>0.26760563380281688</v>
      </c>
      <c r="AW123" s="312">
        <f t="shared" si="337"/>
        <v>0.26331811263318111</v>
      </c>
      <c r="AX123" s="312">
        <f t="shared" si="337"/>
        <v>0.27326440177252587</v>
      </c>
      <c r="AY123" s="312">
        <f t="shared" si="338"/>
        <v>0.25801749271137026</v>
      </c>
      <c r="AZ123" s="1164">
        <f t="shared" si="338"/>
        <v>0.26551335088379091</v>
      </c>
      <c r="BA123" s="312">
        <f t="shared" si="339"/>
        <v>0.28267045454545453</v>
      </c>
      <c r="BB123" s="312">
        <f t="shared" si="339"/>
        <v>0.27426160337552741</v>
      </c>
      <c r="BC123" s="312">
        <f t="shared" si="340"/>
        <v>0.26294277929155313</v>
      </c>
      <c r="BD123" s="312">
        <f t="shared" si="340"/>
        <v>0.25101763907734059</v>
      </c>
      <c r="BE123" s="1164">
        <f t="shared" si="340"/>
        <v>0.26749826749826749</v>
      </c>
      <c r="BF123" s="312">
        <f t="shared" si="341"/>
        <v>0.27260273972602739</v>
      </c>
      <c r="BG123" s="312">
        <f t="shared" si="341"/>
        <v>0.2746955345060893</v>
      </c>
      <c r="BH123" s="881">
        <f>BH65/BH37</f>
        <v>0.26209677419354838</v>
      </c>
      <c r="BI123" s="1053">
        <v>0.26</v>
      </c>
      <c r="BJ123" s="1165">
        <f>BJ65/BJ37</f>
        <v>0.2675454477113387</v>
      </c>
      <c r="BK123" s="1053">
        <v>0.26</v>
      </c>
      <c r="BL123" s="1053">
        <v>0.26</v>
      </c>
      <c r="BM123" s="1053">
        <v>0.26</v>
      </c>
      <c r="BN123" s="1053">
        <v>0.26</v>
      </c>
      <c r="BO123" s="1165">
        <f>BO65/BO37</f>
        <v>0.26</v>
      </c>
      <c r="BP123" s="1166">
        <v>0.26</v>
      </c>
      <c r="BQ123" s="1166">
        <v>0.26</v>
      </c>
      <c r="BR123" s="1167">
        <v>0.26</v>
      </c>
      <c r="BS123" s="27"/>
    </row>
    <row r="124" spans="1:71" s="671" customFormat="1" ht="15">
      <c r="A124" s="163" t="s">
        <v>96</v>
      </c>
      <c r="B124" s="493"/>
      <c r="C124" s="1163"/>
      <c r="D124" s="1163"/>
      <c r="E124" s="1164">
        <f t="shared" si="344" ref="E124:AK124">E66/E38</f>
        <v>0.47058823529411764</v>
      </c>
      <c r="F124" s="1164">
        <f t="shared" si="344"/>
        <v>0.50370370370370365</v>
      </c>
      <c r="G124" s="1164">
        <f t="shared" si="344"/>
        <v>0.52025586353944564</v>
      </c>
      <c r="H124" s="312">
        <f t="shared" si="344"/>
        <v>0.52991452991452992</v>
      </c>
      <c r="I124" s="312">
        <f t="shared" si="344"/>
        <v>0.52586206896551724</v>
      </c>
      <c r="J124" s="312">
        <f t="shared" si="344"/>
        <v>0.53913043478260869</v>
      </c>
      <c r="K124" s="312">
        <f t="shared" si="344"/>
        <v>0.50413223140495866</v>
      </c>
      <c r="L124" s="1164">
        <f t="shared" si="344"/>
        <v>0.52452025586353945</v>
      </c>
      <c r="M124" s="312">
        <f t="shared" si="344"/>
        <v>0.51666666666666672</v>
      </c>
      <c r="N124" s="312">
        <f t="shared" si="344"/>
        <v>0.53488372093023251</v>
      </c>
      <c r="O124" s="312">
        <f t="shared" si="344"/>
        <v>0.52671755725190839</v>
      </c>
      <c r="P124" s="312">
        <f t="shared" si="344"/>
        <v>0.55474452554744524</v>
      </c>
      <c r="Q124" s="1164">
        <f t="shared" si="344"/>
        <v>0.53384912959381048</v>
      </c>
      <c r="R124" s="312">
        <f t="shared" si="344"/>
        <v>0.48484848484848486</v>
      </c>
      <c r="S124" s="312">
        <f t="shared" si="344"/>
        <v>0.53956834532374098</v>
      </c>
      <c r="T124" s="312">
        <f t="shared" si="344"/>
        <v>0.55862068965517242</v>
      </c>
      <c r="U124" s="312">
        <f t="shared" si="344"/>
        <v>0.53191489361702127</v>
      </c>
      <c r="V124" s="1164">
        <f t="shared" si="344"/>
        <v>0.52962298025134646</v>
      </c>
      <c r="W124" s="312">
        <f t="shared" si="344"/>
        <v>0.49659863945578231</v>
      </c>
      <c r="X124" s="312">
        <f t="shared" si="344"/>
        <v>0.50684931506849318</v>
      </c>
      <c r="Y124" s="312">
        <f t="shared" si="344"/>
        <v>0.46478873239436619</v>
      </c>
      <c r="Z124" s="312">
        <f t="shared" si="344"/>
        <v>0.53191489361702127</v>
      </c>
      <c r="AA124" s="1164">
        <f t="shared" si="344"/>
        <v>0.50</v>
      </c>
      <c r="AB124" s="312">
        <f t="shared" si="344"/>
        <v>0.49664429530201343</v>
      </c>
      <c r="AC124" s="312">
        <f t="shared" si="344"/>
        <v>0.5220125786163522</v>
      </c>
      <c r="AD124" s="312">
        <f t="shared" si="344"/>
        <v>0.53691275167785235</v>
      </c>
      <c r="AE124" s="312">
        <f t="shared" si="344"/>
        <v>0.49645390070921985</v>
      </c>
      <c r="AF124" s="1164">
        <f t="shared" si="344"/>
        <v>0.51337792642140467</v>
      </c>
      <c r="AG124" s="312">
        <f t="shared" si="344"/>
        <v>0.5273972602739726</v>
      </c>
      <c r="AH124" s="312">
        <f t="shared" si="344"/>
        <v>0.53642384105960261</v>
      </c>
      <c r="AI124" s="312">
        <f t="shared" si="344"/>
        <v>0.54658385093167705</v>
      </c>
      <c r="AJ124" s="312">
        <f t="shared" si="344"/>
        <v>0.52631578947368418</v>
      </c>
      <c r="AK124" s="1164">
        <f t="shared" si="344"/>
        <v>0.53442622950819674</v>
      </c>
      <c r="AL124" s="312">
        <f t="shared" si="345" ref="AL124:AV124">AL66/AL38</f>
        <v>0.51282051282051277</v>
      </c>
      <c r="AM124" s="312">
        <f t="shared" si="345"/>
        <v>0.54861111111111116</v>
      </c>
      <c r="AN124" s="312">
        <f t="shared" si="345"/>
        <v>0.5161290322580645</v>
      </c>
      <c r="AO124" s="312">
        <f t="shared" si="345"/>
        <v>0.51898734177215189</v>
      </c>
      <c r="AP124" s="1164">
        <f t="shared" si="345"/>
        <v>0.52365415986949426</v>
      </c>
      <c r="AQ124" s="312">
        <f t="shared" si="345"/>
        <v>0.50318471337579618</v>
      </c>
      <c r="AR124" s="312">
        <f t="shared" si="345"/>
        <v>0.53503184713375795</v>
      </c>
      <c r="AS124" s="312">
        <f t="shared" si="345"/>
        <v>0.49693251533742333</v>
      </c>
      <c r="AT124" s="312">
        <f t="shared" si="345"/>
        <v>0.53939393939393943</v>
      </c>
      <c r="AU124" s="1164">
        <f t="shared" si="345"/>
        <v>0.51869158878504673</v>
      </c>
      <c r="AV124" s="312">
        <f t="shared" si="345"/>
        <v>0.52760736196319014</v>
      </c>
      <c r="AW124" s="312">
        <f t="shared" si="337"/>
        <v>0.52631578947368418</v>
      </c>
      <c r="AX124" s="312">
        <f t="shared" si="337"/>
        <v>0.44444444444444442</v>
      </c>
      <c r="AY124" s="312">
        <f t="shared" si="338"/>
        <v>0.48704663212435234</v>
      </c>
      <c r="AZ124" s="1164">
        <f t="shared" si="338"/>
        <v>0.49570200573065903</v>
      </c>
      <c r="BA124" s="312">
        <f t="shared" si="339"/>
        <v>0.50510204081632648</v>
      </c>
      <c r="BB124" s="312">
        <f t="shared" si="339"/>
        <v>0.54358974358974355</v>
      </c>
      <c r="BC124" s="312">
        <f t="shared" si="340"/>
        <v>0.47413793103448276</v>
      </c>
      <c r="BD124" s="312">
        <f t="shared" si="340"/>
        <v>0.46721311475409838</v>
      </c>
      <c r="BE124" s="1164">
        <f t="shared" si="340"/>
        <v>0.49480968858131485</v>
      </c>
      <c r="BF124" s="312">
        <f t="shared" si="341"/>
        <v>0.46090534979423869</v>
      </c>
      <c r="BG124" s="312">
        <f t="shared" si="341"/>
        <v>0.47717842323651455</v>
      </c>
      <c r="BH124" s="881">
        <f>BH66/BH38</f>
        <v>0.45724907063197023</v>
      </c>
      <c r="BI124" s="1053">
        <v>0.52</v>
      </c>
      <c r="BJ124" s="1165">
        <f>BJ66/BJ38</f>
        <v>0.47812172511084239</v>
      </c>
      <c r="BK124" s="1053">
        <v>0.52</v>
      </c>
      <c r="BL124" s="1053">
        <v>0.52</v>
      </c>
      <c r="BM124" s="1053">
        <v>0.52</v>
      </c>
      <c r="BN124" s="1053">
        <v>0.52</v>
      </c>
      <c r="BO124" s="1165">
        <f>BO66/BO38</f>
        <v>0.52</v>
      </c>
      <c r="BP124" s="1166">
        <v>0.51999999999999991</v>
      </c>
      <c r="BQ124" s="1166">
        <v>0.51999999999999991</v>
      </c>
      <c r="BR124" s="1167">
        <v>0.51999999999999991</v>
      </c>
      <c r="BS124" s="27"/>
    </row>
    <row r="125" spans="1:71" s="671" customFormat="1" ht="15">
      <c r="A125" s="49" t="s">
        <v>97</v>
      </c>
      <c r="B125" s="495"/>
      <c r="C125" s="1168"/>
      <c r="D125" s="1168"/>
      <c r="E125" s="1169">
        <f t="shared" si="346" ref="E125:AK125">E67/E39</f>
        <v>0.35820895522388058</v>
      </c>
      <c r="F125" s="1169">
        <f t="shared" si="346"/>
        <v>0.38028169014084506</v>
      </c>
      <c r="G125" s="1169">
        <f t="shared" si="346"/>
        <v>0.35443037974683544</v>
      </c>
      <c r="H125" s="52">
        <f t="shared" si="346"/>
        <v>0.34782608695652173</v>
      </c>
      <c r="I125" s="52">
        <f t="shared" si="346"/>
        <v>0.33333333333333331</v>
      </c>
      <c r="J125" s="52">
        <f t="shared" si="346"/>
        <v>0.37037037037037035</v>
      </c>
      <c r="K125" s="52">
        <f t="shared" si="346"/>
        <v>0.38461538461538464</v>
      </c>
      <c r="L125" s="1169">
        <f t="shared" si="346"/>
        <v>0.36</v>
      </c>
      <c r="M125" s="52">
        <f t="shared" si="346"/>
        <v>0.30434782608695654</v>
      </c>
      <c r="N125" s="52">
        <f t="shared" si="346"/>
        <v>0.38461538461538464</v>
      </c>
      <c r="O125" s="52">
        <f t="shared" si="346"/>
        <v>0.40909090909090912</v>
      </c>
      <c r="P125" s="52">
        <f t="shared" si="346"/>
        <v>0.38461538461538464</v>
      </c>
      <c r="Q125" s="1169">
        <f t="shared" si="346"/>
        <v>0.37113402061855671</v>
      </c>
      <c r="R125" s="52">
        <f t="shared" si="346"/>
        <v>0.40</v>
      </c>
      <c r="S125" s="52">
        <f t="shared" si="346"/>
        <v>0.38461538461538464</v>
      </c>
      <c r="T125" s="52">
        <f t="shared" si="346"/>
        <v>0.29166666666666669</v>
      </c>
      <c r="U125" s="52">
        <f t="shared" si="346"/>
        <v>0.35714285714285715</v>
      </c>
      <c r="V125" s="1169">
        <f t="shared" si="346"/>
        <v>0.35922330097087379</v>
      </c>
      <c r="W125" s="52">
        <f t="shared" si="346"/>
        <v>0.36</v>
      </c>
      <c r="X125" s="52">
        <f t="shared" si="346"/>
        <v>0.44</v>
      </c>
      <c r="Y125" s="52">
        <f t="shared" si="346"/>
        <v>0.30</v>
      </c>
      <c r="Z125" s="52">
        <f t="shared" si="346"/>
        <v>0.30769230769230771</v>
      </c>
      <c r="AA125" s="1169">
        <f t="shared" si="346"/>
        <v>0.34905660377358488</v>
      </c>
      <c r="AB125" s="52">
        <f t="shared" si="346"/>
        <v>0.37931034482758619</v>
      </c>
      <c r="AC125" s="52">
        <f t="shared" si="346"/>
        <v>0.39393939393939392</v>
      </c>
      <c r="AD125" s="52">
        <f t="shared" si="346"/>
        <v>0.3888888888888889</v>
      </c>
      <c r="AE125" s="52">
        <f t="shared" si="346"/>
        <v>0.32432432432432434</v>
      </c>
      <c r="AF125" s="1169">
        <f t="shared" si="346"/>
        <v>0.37037037037037035</v>
      </c>
      <c r="AG125" s="52">
        <f t="shared" si="346"/>
        <v>0.40540540540540543</v>
      </c>
      <c r="AH125" s="52">
        <f t="shared" si="346"/>
        <v>0.3888888888888889</v>
      </c>
      <c r="AI125" s="52">
        <f t="shared" si="346"/>
        <v>0.325</v>
      </c>
      <c r="AJ125" s="52">
        <f t="shared" si="346"/>
        <v>0.43243243243243246</v>
      </c>
      <c r="AK125" s="1169">
        <f t="shared" si="346"/>
        <v>0.38666666666666666</v>
      </c>
      <c r="AL125" s="52">
        <f t="shared" si="347" ref="AL125:AV125">AL67/AL39</f>
        <v>0.15315315315315314</v>
      </c>
      <c r="AM125" s="52">
        <f t="shared" si="347"/>
        <v>0.1553398058252427</v>
      </c>
      <c r="AN125" s="52">
        <f t="shared" si="347"/>
        <v>0.22826086956521738</v>
      </c>
      <c r="AO125" s="52">
        <f t="shared" si="347"/>
        <v>0.1891891891891892</v>
      </c>
      <c r="AP125" s="1169">
        <f t="shared" si="347"/>
        <v>0.17894736842105263</v>
      </c>
      <c r="AQ125" s="52">
        <f t="shared" si="347"/>
        <v>0.43137254901960786</v>
      </c>
      <c r="AR125" s="52">
        <f t="shared" si="347"/>
        <v>0.34615384615384615</v>
      </c>
      <c r="AS125" s="52">
        <f t="shared" si="347"/>
        <v>0.35849056603773582</v>
      </c>
      <c r="AT125" s="52">
        <f t="shared" si="347"/>
        <v>0.35185185185185186</v>
      </c>
      <c r="AU125" s="1169">
        <f t="shared" si="347"/>
        <v>0.37142857142857144</v>
      </c>
      <c r="AV125" s="52">
        <f t="shared" si="347"/>
        <v>0.35087719298245612</v>
      </c>
      <c r="AW125" s="52">
        <f t="shared" si="337"/>
        <v>0.35</v>
      </c>
      <c r="AX125" s="52">
        <f t="shared" si="337"/>
        <v>0.32258064516129031</v>
      </c>
      <c r="AY125" s="52">
        <f t="shared" si="338"/>
        <v>0.37096774193548387</v>
      </c>
      <c r="AZ125" s="1169">
        <f t="shared" si="338"/>
        <v>0.34854771784232363</v>
      </c>
      <c r="BA125" s="52">
        <f t="shared" si="339"/>
        <v>0.35483870967741937</v>
      </c>
      <c r="BB125" s="52">
        <f t="shared" si="339"/>
        <v>0.31343283582089554</v>
      </c>
      <c r="BC125" s="52">
        <f t="shared" si="340"/>
        <v>0.34426229508196721</v>
      </c>
      <c r="BD125" s="52">
        <f t="shared" si="340"/>
        <v>0.34782608695652173</v>
      </c>
      <c r="BE125" s="1169">
        <f t="shared" si="340"/>
        <v>0.33976833976833976</v>
      </c>
      <c r="BF125" s="52">
        <f t="shared" si="341"/>
        <v>0.36666666666666664</v>
      </c>
      <c r="BG125" s="52">
        <f t="shared" si="341"/>
        <v>0.38709677419354838</v>
      </c>
      <c r="BH125" s="882">
        <f>BH67/BH39</f>
        <v>0.36065573770491804</v>
      </c>
      <c r="BI125" s="1056">
        <v>0.37</v>
      </c>
      <c r="BJ125" s="1168">
        <f>BJ67/BJ39</f>
        <v>0.37122362869198317</v>
      </c>
      <c r="BK125" s="1056">
        <v>0.37</v>
      </c>
      <c r="BL125" s="1056">
        <v>0.37</v>
      </c>
      <c r="BM125" s="1056">
        <v>0.37</v>
      </c>
      <c r="BN125" s="1056">
        <v>0.37</v>
      </c>
      <c r="BO125" s="1168">
        <f>BO67/BO39</f>
        <v>0.37</v>
      </c>
      <c r="BP125" s="1170">
        <v>0.37</v>
      </c>
      <c r="BQ125" s="1170">
        <v>0.37</v>
      </c>
      <c r="BR125" s="1170">
        <v>0.37</v>
      </c>
      <c r="BS125" s="27"/>
    </row>
    <row r="126" spans="1:71" s="670" customFormat="1" ht="15">
      <c r="A126" s="361" t="s">
        <v>98</v>
      </c>
      <c r="B126" s="496"/>
      <c r="C126" s="1171"/>
      <c r="D126" s="1171"/>
      <c r="E126" s="1172">
        <f t="shared" si="348" ref="E126:AK126">ROUND(INDEX(MO_UI_OOE,0,COLUMN())/INDEX(MO_UI_NEP,0,COLUMN()),6)</f>
        <v>0.30264600000000003</v>
      </c>
      <c r="F126" s="1172">
        <f t="shared" si="348"/>
        <v>0.311556</v>
      </c>
      <c r="G126" s="1172">
        <f t="shared" si="348"/>
        <v>0.31803999999999999</v>
      </c>
      <c r="H126" s="69">
        <f t="shared" si="348"/>
        <v>0.35411100000000001</v>
      </c>
      <c r="I126" s="69">
        <f t="shared" si="348"/>
        <v>0.32223400000000002</v>
      </c>
      <c r="J126" s="69">
        <f t="shared" si="348"/>
        <v>0.26678400000000002</v>
      </c>
      <c r="K126" s="69">
        <f t="shared" si="348"/>
        <v>0.28558</v>
      </c>
      <c r="L126" s="1172">
        <f t="shared" si="348"/>
        <v>0.30221799999999999</v>
      </c>
      <c r="M126" s="69">
        <f t="shared" si="348"/>
        <v>0.33086700000000002</v>
      </c>
      <c r="N126" s="69">
        <f t="shared" si="348"/>
        <v>0.34314699999999998</v>
      </c>
      <c r="O126" s="69">
        <f t="shared" si="348"/>
        <v>0.28644500000000001</v>
      </c>
      <c r="P126" s="69">
        <f t="shared" si="348"/>
        <v>0.297321</v>
      </c>
      <c r="Q126" s="1172">
        <f t="shared" si="348"/>
        <v>0.3125</v>
      </c>
      <c r="R126" s="69">
        <f t="shared" si="348"/>
        <v>0.33466899999999999</v>
      </c>
      <c r="S126" s="69">
        <f t="shared" si="348"/>
        <v>0.33885100000000001</v>
      </c>
      <c r="T126" s="69">
        <f t="shared" si="348"/>
        <v>0.30716100000000002</v>
      </c>
      <c r="U126" s="69">
        <f t="shared" si="348"/>
        <v>0.27185300000000001</v>
      </c>
      <c r="V126" s="1172">
        <f t="shared" si="348"/>
        <v>0.311691</v>
      </c>
      <c r="W126" s="69">
        <f t="shared" si="348"/>
        <v>0.33170300000000003</v>
      </c>
      <c r="X126" s="69">
        <f t="shared" si="348"/>
        <v>0.34366200000000002</v>
      </c>
      <c r="Y126" s="69">
        <f t="shared" si="348"/>
        <v>0.28176800000000002</v>
      </c>
      <c r="Z126" s="69">
        <f t="shared" si="348"/>
        <v>0.28163300000000002</v>
      </c>
      <c r="AA126" s="1172">
        <f t="shared" si="348"/>
        <v>0.30727199999999999</v>
      </c>
      <c r="AB126" s="69">
        <f t="shared" si="348"/>
        <v>0.34417300000000001</v>
      </c>
      <c r="AC126" s="69">
        <f t="shared" si="348"/>
        <v>0.34453099999999998</v>
      </c>
      <c r="AD126" s="69">
        <f t="shared" si="348"/>
        <v>0.31951800000000002</v>
      </c>
      <c r="AE126" s="69">
        <f t="shared" si="348"/>
        <v>0.29763800000000001</v>
      </c>
      <c r="AF126" s="1172">
        <f t="shared" si="348"/>
        <v>0.32538499999999998</v>
      </c>
      <c r="AG126" s="69">
        <f t="shared" si="348"/>
        <v>0.34015299999999998</v>
      </c>
      <c r="AH126" s="69">
        <f t="shared" si="348"/>
        <v>0.355</v>
      </c>
      <c r="AI126" s="69">
        <f t="shared" si="348"/>
        <v>0.31206699999999998</v>
      </c>
      <c r="AJ126" s="69">
        <f t="shared" si="348"/>
        <v>0.32846700000000001</v>
      </c>
      <c r="AK126" s="1172">
        <f t="shared" si="348"/>
        <v>0.33268999999999999</v>
      </c>
      <c r="AL126" s="69">
        <f t="shared" si="349" ref="AL126:AQ126">ROUND(INDEX(MO_UI_OOE,0,COLUMN())/INDEX(MO_UI_NEP,0,COLUMN()),6)</f>
        <v>0.34739500000000001</v>
      </c>
      <c r="AM126" s="69">
        <f t="shared" si="349"/>
        <v>0.345439</v>
      </c>
      <c r="AN126" s="69">
        <f t="shared" si="349"/>
        <v>0.29398999999999997</v>
      </c>
      <c r="AO126" s="69">
        <f t="shared" si="349"/>
        <v>0.29433999999999999</v>
      </c>
      <c r="AP126" s="1172">
        <f t="shared" si="349"/>
        <v>0.31868999999999997</v>
      </c>
      <c r="AQ126" s="69">
        <f t="shared" si="349"/>
        <v>0.32395600000000002</v>
      </c>
      <c r="AR126" s="69">
        <f t="shared" si="350" ref="AR126:AW126">ROUND(INDEX(MO_UI_OOE,0,COLUMN())/INDEX(MO_UI_NEP,0,COLUMN()),6)</f>
        <v>0.312</v>
      </c>
      <c r="AS126" s="69">
        <f t="shared" si="350"/>
        <v>0.272727</v>
      </c>
      <c r="AT126" s="69">
        <f t="shared" si="350"/>
        <v>0.24793399999999999</v>
      </c>
      <c r="AU126" s="1172">
        <f t="shared" si="350"/>
        <v>0.286269</v>
      </c>
      <c r="AV126" s="69">
        <f t="shared" si="350"/>
        <v>0.31797199999999998</v>
      </c>
      <c r="AW126" s="69">
        <f t="shared" si="350"/>
        <v>0.31012200000000001</v>
      </c>
      <c r="AX126" s="69">
        <f t="shared" si="351" ref="AX126:BJ126">ROUND(INDEX(MO_UI_OOE,0,COLUMN())/INDEX(MO_UI_NEP,0,COLUMN()),6)</f>
        <v>0.25183899999999998</v>
      </c>
      <c r="AY126" s="69">
        <f t="shared" si="351"/>
        <v>0.26309300000000002</v>
      </c>
      <c r="AZ126" s="1172">
        <f t="shared" si="351"/>
        <v>0.28233399999999997</v>
      </c>
      <c r="BA126" s="69">
        <f t="shared" si="352" ref="BA126:BI126">ROUND(INDEX(MO_UI_OOE,0,COLUMN())/INDEX(MO_UI_NEP,0,COLUMN()),6)</f>
        <v>0.32915800000000001</v>
      </c>
      <c r="BB126" s="69">
        <f t="shared" si="352"/>
        <v>0.32183099999999998</v>
      </c>
      <c r="BC126" s="69">
        <f t="shared" si="352"/>
        <v>0.26792500000000002</v>
      </c>
      <c r="BD126" s="69">
        <f t="shared" si="352"/>
        <v>0.27713599999999999</v>
      </c>
      <c r="BE126" s="1172">
        <f t="shared" si="352"/>
        <v>0.29627900000000001</v>
      </c>
      <c r="BF126" s="69">
        <f>ROUND(INDEX(MO_UI_OOE,0,COLUMN())/INDEX(MO_UI_NEP,0,COLUMN()),6)</f>
        <v>0.32535599999999998</v>
      </c>
      <c r="BG126" s="69">
        <f>ROUND(INDEX(MO_UI_OOE,0,COLUMN())/INDEX(MO_UI_NEP,0,COLUMN()),6)</f>
        <v>0.319243</v>
      </c>
      <c r="BH126" s="883">
        <f>ROUND(INDEX(MO_UI_OOE,0,COLUMN())/INDEX(MO_UI_NEP,0,COLUMN()),6)</f>
        <v>0.25206800000000001</v>
      </c>
      <c r="BI126" s="757">
        <f t="shared" si="352"/>
        <v>0.297454</v>
      </c>
      <c r="BJ126" s="1171">
        <f t="shared" si="351"/>
        <v>0.29509800000000003</v>
      </c>
      <c r="BK126" s="757">
        <f t="shared" si="353" ref="BK126:BR126">ROUND(INDEX(MO_UI_OOE,0,COLUMN())/INDEX(MO_UI_NEP,0,COLUMN()),6)</f>
        <v>0.29084300000000002</v>
      </c>
      <c r="BL126" s="757">
        <f t="shared" si="353"/>
        <v>0.28892000000000001</v>
      </c>
      <c r="BM126" s="757">
        <f t="shared" si="353"/>
        <v>0.28733399999999998</v>
      </c>
      <c r="BN126" s="757">
        <f t="shared" si="353"/>
        <v>0.29859200000000002</v>
      </c>
      <c r="BO126" s="1171">
        <f t="shared" si="353"/>
        <v>0.29134399999999999</v>
      </c>
      <c r="BP126" s="1171">
        <f t="shared" si="353"/>
        <v>0.28565200000000002</v>
      </c>
      <c r="BQ126" s="1171">
        <f t="shared" si="353"/>
        <v>0.28093600000000002</v>
      </c>
      <c r="BR126" s="1171">
        <f t="shared" si="353"/>
        <v>0.28171499999999999</v>
      </c>
      <c r="BS126" s="29"/>
    </row>
    <row r="127" spans="1:71" s="671" customFormat="1" ht="15">
      <c r="A127" s="26" t="s">
        <v>99</v>
      </c>
      <c r="B127" s="493"/>
      <c r="C127" s="1163"/>
      <c r="D127" s="1163"/>
      <c r="E127" s="1164">
        <f t="shared" si="354" ref="E127:AK127">E72/E36</f>
        <v>0.91997167138810199</v>
      </c>
      <c r="F127" s="1164">
        <f t="shared" si="354"/>
        <v>0.98664792691496839</v>
      </c>
      <c r="G127" s="1164">
        <f t="shared" si="354"/>
        <v>0.99211045364891515</v>
      </c>
      <c r="H127" s="312">
        <f t="shared" si="354"/>
        <v>0.98006644518272423</v>
      </c>
      <c r="I127" s="312">
        <f t="shared" si="354"/>
        <v>1.0555555555555556</v>
      </c>
      <c r="J127" s="312">
        <f t="shared" si="354"/>
        <v>0.97817460317460314</v>
      </c>
      <c r="K127" s="312">
        <f t="shared" si="354"/>
        <v>0.94698795180722894</v>
      </c>
      <c r="L127" s="1164">
        <f t="shared" si="354"/>
        <v>0.9863989637305699</v>
      </c>
      <c r="M127" s="312">
        <f t="shared" si="354"/>
        <v>0.97763578274760388</v>
      </c>
      <c r="N127" s="312">
        <f t="shared" si="354"/>
        <v>1.0397553516819571</v>
      </c>
      <c r="O127" s="312">
        <f t="shared" si="354"/>
        <v>0.96131528046421666</v>
      </c>
      <c r="P127" s="312">
        <f t="shared" si="354"/>
        <v>0.92307692307692313</v>
      </c>
      <c r="Q127" s="1164">
        <f t="shared" si="354"/>
        <v>0.96998123827392124</v>
      </c>
      <c r="R127" s="312">
        <f t="shared" si="354"/>
        <v>0.9056047197640118</v>
      </c>
      <c r="S127" s="312">
        <f t="shared" si="354"/>
        <v>0.95890410958904104</v>
      </c>
      <c r="T127" s="312">
        <f t="shared" si="354"/>
        <v>0.91075050709939143</v>
      </c>
      <c r="U127" s="312">
        <f t="shared" si="354"/>
        <v>0.83870967741935487</v>
      </c>
      <c r="V127" s="1164">
        <f t="shared" si="354"/>
        <v>0.90012033694344162</v>
      </c>
      <c r="W127" s="312">
        <f t="shared" si="354"/>
        <v>0.8742690058479532</v>
      </c>
      <c r="X127" s="312">
        <f t="shared" si="354"/>
        <v>0.94117647058823528</v>
      </c>
      <c r="Y127" s="312">
        <f t="shared" si="354"/>
        <v>0.98861480075901331</v>
      </c>
      <c r="Z127" s="312">
        <f t="shared" si="354"/>
        <v>0.82680412371134016</v>
      </c>
      <c r="AA127" s="1164">
        <f t="shared" si="354"/>
        <v>0.90999415546464058</v>
      </c>
      <c r="AB127" s="312">
        <f t="shared" si="354"/>
        <v>0.90571428571428569</v>
      </c>
      <c r="AC127" s="312">
        <f t="shared" si="354"/>
        <v>0.93850267379679142</v>
      </c>
      <c r="AD127" s="312">
        <f t="shared" si="354"/>
        <v>1</v>
      </c>
      <c r="AE127" s="312">
        <f t="shared" si="354"/>
        <v>0.86638830897703545</v>
      </c>
      <c r="AF127" s="1164">
        <f t="shared" si="354"/>
        <v>0.93059572006940428</v>
      </c>
      <c r="AG127" s="312">
        <f t="shared" si="354"/>
        <v>0.89196675900277012</v>
      </c>
      <c r="AH127" s="312">
        <f t="shared" si="354"/>
        <v>0.98944591029023743</v>
      </c>
      <c r="AI127" s="312">
        <f t="shared" si="354"/>
        <v>0.934819897084048</v>
      </c>
      <c r="AJ127" s="312">
        <f t="shared" si="354"/>
        <v>1.003960396039604</v>
      </c>
      <c r="AK127" s="1164">
        <f t="shared" si="354"/>
        <v>0.95678336980306344</v>
      </c>
      <c r="AL127" s="312">
        <f t="shared" si="355" ref="AL127:AV127">AL72/AL36</f>
        <v>0.93005181347150256</v>
      </c>
      <c r="AM127" s="312">
        <f t="shared" si="355"/>
        <v>0.91538461538461535</v>
      </c>
      <c r="AN127" s="312">
        <f t="shared" si="355"/>
        <v>0.91811846689895471</v>
      </c>
      <c r="AO127" s="312">
        <f t="shared" si="355"/>
        <v>0.85796545105566224</v>
      </c>
      <c r="AP127" s="1164">
        <f t="shared" si="355"/>
        <v>0.9032602886157135</v>
      </c>
      <c r="AQ127" s="312">
        <f t="shared" si="355"/>
        <v>0.85786802030456855</v>
      </c>
      <c r="AR127" s="312">
        <f t="shared" si="355"/>
        <v>0.86313465783664456</v>
      </c>
      <c r="AS127" s="312">
        <f t="shared" si="355"/>
        <v>0.93571428571428572</v>
      </c>
      <c r="AT127" s="312">
        <f t="shared" si="355"/>
        <v>0.80569514237855944</v>
      </c>
      <c r="AU127" s="1164">
        <f t="shared" si="355"/>
        <v>0.86986940298507465</v>
      </c>
      <c r="AV127" s="312">
        <f t="shared" si="355"/>
        <v>0.86004514672686228</v>
      </c>
      <c r="AW127" s="312">
        <f t="shared" si="356" ref="AW127:AX130">AW72/AW36</f>
        <v>0.92277227722772281</v>
      </c>
      <c r="AX127" s="312">
        <f t="shared" si="356"/>
        <v>0.95449241540256713</v>
      </c>
      <c r="AY127" s="312">
        <f t="shared" si="357" ref="AY127:AZ130">AY72/AY36</f>
        <v>0.90029325513196479</v>
      </c>
      <c r="AZ127" s="1164">
        <f t="shared" si="357"/>
        <v>0.91636509851226378</v>
      </c>
      <c r="BA127" s="312">
        <f t="shared" si="358" ref="BA127:BB130">BA72/BA36</f>
        <v>0.90947368421052632</v>
      </c>
      <c r="BB127" s="312">
        <f t="shared" si="358"/>
        <v>0.94007490636704116</v>
      </c>
      <c r="BC127" s="312">
        <f t="shared" si="359" ref="BC127:BI130">BC72/BC36</f>
        <v>0.94927536231884058</v>
      </c>
      <c r="BD127" s="312">
        <f t="shared" si="359"/>
        <v>0.90175953079178883</v>
      </c>
      <c r="BE127" s="1164">
        <f t="shared" si="359"/>
        <v>0.92695514092894005</v>
      </c>
      <c r="BF127" s="312">
        <f t="shared" si="360" ref="BF127:BG130">BF72/BF36</f>
        <v>0.89083820662768032</v>
      </c>
      <c r="BG127" s="312">
        <f t="shared" si="360"/>
        <v>0.92817679558011046</v>
      </c>
      <c r="BH127" s="881">
        <f>BH72/BH36</f>
        <v>0.96534148827726807</v>
      </c>
      <c r="BI127" s="504">
        <f t="shared" si="359"/>
        <v>0.92</v>
      </c>
      <c r="BJ127" s="1165">
        <f t="shared" si="361" ref="BJ127:BJ130">BJ72/BJ36</f>
        <v>0.93345185010075804</v>
      </c>
      <c r="BK127" s="504">
        <f t="shared" si="362" ref="BK127:BR130">BK72/BK36</f>
        <v>0.77000000000000013</v>
      </c>
      <c r="BL127" s="504">
        <f t="shared" si="362"/>
        <v>0.86</v>
      </c>
      <c r="BM127" s="504">
        <f t="shared" si="362"/>
        <v>0.86</v>
      </c>
      <c r="BN127" s="504">
        <f t="shared" si="362"/>
        <v>0.72000000000000008</v>
      </c>
      <c r="BO127" s="1165">
        <f t="shared" si="362"/>
        <v>0.8107972388595206</v>
      </c>
      <c r="BP127" s="1163">
        <f t="shared" si="362"/>
        <v>0.86</v>
      </c>
      <c r="BQ127" s="1163">
        <f t="shared" si="362"/>
        <v>0.8600000000000001</v>
      </c>
      <c r="BR127" s="1165">
        <f t="shared" si="362"/>
        <v>0.86</v>
      </c>
      <c r="BS127" s="27"/>
    </row>
    <row r="128" spans="1:71" s="671" customFormat="1" ht="15">
      <c r="A128" s="26" t="s">
        <v>100</v>
      </c>
      <c r="B128" s="493"/>
      <c r="C128" s="1163"/>
      <c r="D128" s="1163"/>
      <c r="E128" s="1164">
        <f t="shared" si="363" ref="E128:AK128">E73/E37</f>
        <v>0.95986238532110091</v>
      </c>
      <c r="F128" s="1164">
        <f t="shared" si="363"/>
        <v>0.94409282700421937</v>
      </c>
      <c r="G128" s="1164">
        <f t="shared" si="363"/>
        <v>0.91013215859030838</v>
      </c>
      <c r="H128" s="312">
        <f t="shared" si="363"/>
        <v>0.87859424920127793</v>
      </c>
      <c r="I128" s="312">
        <f t="shared" si="363"/>
        <v>0.93576017130620981</v>
      </c>
      <c r="J128" s="312">
        <f t="shared" si="363"/>
        <v>0.93415637860082301</v>
      </c>
      <c r="K128" s="312">
        <f t="shared" si="363"/>
        <v>0.92785571142284573</v>
      </c>
      <c r="L128" s="1164">
        <f t="shared" si="363"/>
        <v>0.92294617563739378</v>
      </c>
      <c r="M128" s="312">
        <f t="shared" si="363"/>
        <v>0.94285714285714284</v>
      </c>
      <c r="N128" s="312">
        <f t="shared" si="363"/>
        <v>0.92644135188866794</v>
      </c>
      <c r="O128" s="312">
        <f t="shared" si="363"/>
        <v>0.93836978131212723</v>
      </c>
      <c r="P128" s="312">
        <f t="shared" si="363"/>
        <v>0.90291262135922334</v>
      </c>
      <c r="Q128" s="1164">
        <f t="shared" si="363"/>
        <v>0.92739930382894087</v>
      </c>
      <c r="R128" s="312">
        <f t="shared" si="363"/>
        <v>0.94223107569721121</v>
      </c>
      <c r="S128" s="312">
        <f t="shared" si="363"/>
        <v>0.95372233400402417</v>
      </c>
      <c r="T128" s="312">
        <f t="shared" si="363"/>
        <v>0.97384305835010065</v>
      </c>
      <c r="U128" s="312">
        <f t="shared" si="363"/>
        <v>0.97450980392156861</v>
      </c>
      <c r="V128" s="1164">
        <f t="shared" si="363"/>
        <v>0.96111665004985047</v>
      </c>
      <c r="W128" s="312">
        <f t="shared" si="363"/>
        <v>0.97047244094488194</v>
      </c>
      <c r="X128" s="312">
        <f t="shared" si="363"/>
        <v>0.94599627560521415</v>
      </c>
      <c r="Y128" s="312">
        <f t="shared" si="363"/>
        <v>0.99647887323943662</v>
      </c>
      <c r="Z128" s="312">
        <f t="shared" si="363"/>
        <v>0.89877835951134377</v>
      </c>
      <c r="AA128" s="1164">
        <f t="shared" si="363"/>
        <v>0.95242451967063124</v>
      </c>
      <c r="AB128" s="312">
        <f t="shared" si="363"/>
        <v>0.92918825561312612</v>
      </c>
      <c r="AC128" s="312">
        <f t="shared" si="363"/>
        <v>0.95126050420168062</v>
      </c>
      <c r="AD128" s="312">
        <f t="shared" si="363"/>
        <v>0.92045454545454541</v>
      </c>
      <c r="AE128" s="312">
        <f t="shared" si="363"/>
        <v>0.96411092985318103</v>
      </c>
      <c r="AF128" s="1164">
        <f t="shared" si="363"/>
        <v>0.94132334581772781</v>
      </c>
      <c r="AG128" s="312">
        <f t="shared" si="363"/>
        <v>0.94276629570747217</v>
      </c>
      <c r="AH128" s="312">
        <f t="shared" si="363"/>
        <v>0.92586750788643535</v>
      </c>
      <c r="AI128" s="312">
        <f t="shared" si="363"/>
        <v>0.96504559270516721</v>
      </c>
      <c r="AJ128" s="312">
        <f t="shared" si="363"/>
        <v>0.89792899408284022</v>
      </c>
      <c r="AK128" s="1164">
        <f t="shared" si="363"/>
        <v>0.93261455525606474</v>
      </c>
      <c r="AL128" s="312">
        <f t="shared" si="364" ref="AL128:AV128">AL73/AL37</f>
        <v>0.90647482014388492</v>
      </c>
      <c r="AM128" s="312">
        <f t="shared" si="364"/>
        <v>0.95063985374771476</v>
      </c>
      <c r="AN128" s="312">
        <f t="shared" si="364"/>
        <v>0.90535714285714286</v>
      </c>
      <c r="AO128" s="312">
        <f t="shared" si="364"/>
        <v>0.84090909090909094</v>
      </c>
      <c r="AP128" s="1164">
        <f t="shared" si="364"/>
        <v>0.90022371364653242</v>
      </c>
      <c r="AQ128" s="312">
        <f t="shared" si="364"/>
        <v>0.90192644483362527</v>
      </c>
      <c r="AR128" s="312">
        <f t="shared" si="364"/>
        <v>0.87925170068027214</v>
      </c>
      <c r="AS128" s="312">
        <f t="shared" si="364"/>
        <v>0.82055464926590538</v>
      </c>
      <c r="AT128" s="312">
        <f t="shared" si="364"/>
        <v>0.77987421383647804</v>
      </c>
      <c r="AU128" s="1164">
        <f t="shared" si="364"/>
        <v>0.84343853820598003</v>
      </c>
      <c r="AV128" s="312">
        <f t="shared" si="364"/>
        <v>0.80594679186228479</v>
      </c>
      <c r="AW128" s="312">
        <f t="shared" si="356"/>
        <v>0.80213089802130899</v>
      </c>
      <c r="AX128" s="312">
        <f t="shared" si="356"/>
        <v>0.82570162481536191</v>
      </c>
      <c r="AY128" s="312">
        <f t="shared" si="357"/>
        <v>0.8134110787172012</v>
      </c>
      <c r="AZ128" s="1164">
        <f t="shared" si="357"/>
        <v>0.81195938322677697</v>
      </c>
      <c r="BA128" s="312">
        <f t="shared" si="358"/>
        <v>0.875</v>
      </c>
      <c r="BB128" s="312">
        <f t="shared" si="358"/>
        <v>0.86638537271448668</v>
      </c>
      <c r="BC128" s="312">
        <f t="shared" si="359"/>
        <v>0.89373297002724794</v>
      </c>
      <c r="BD128" s="312">
        <f t="shared" si="359"/>
        <v>0.84531886024423342</v>
      </c>
      <c r="BE128" s="1164">
        <f t="shared" si="359"/>
        <v>0.87006237006237008</v>
      </c>
      <c r="BF128" s="312">
        <f t="shared" si="360"/>
        <v>0.89863013698630134</v>
      </c>
      <c r="BG128" s="312">
        <f t="shared" si="360"/>
        <v>0.85385656292286871</v>
      </c>
      <c r="BH128" s="881">
        <f>BH73/BH37</f>
        <v>0.89784946236559138</v>
      </c>
      <c r="BI128" s="504">
        <f t="shared" si="359"/>
        <v>0.87</v>
      </c>
      <c r="BJ128" s="1165">
        <f t="shared" si="361"/>
        <v>0.8803619029856451</v>
      </c>
      <c r="BK128" s="504">
        <f t="shared" si="362"/>
        <v>0.87000000000000011</v>
      </c>
      <c r="BL128" s="504">
        <f t="shared" si="362"/>
        <v>0.87000000000000011</v>
      </c>
      <c r="BM128" s="504">
        <f t="shared" si="362"/>
        <v>0.87</v>
      </c>
      <c r="BN128" s="504">
        <f t="shared" si="362"/>
        <v>0.87</v>
      </c>
      <c r="BO128" s="1165">
        <f t="shared" si="362"/>
        <v>0.87000000000000011</v>
      </c>
      <c r="BP128" s="1163">
        <f t="shared" si="362"/>
        <v>0.86999999999999988</v>
      </c>
      <c r="BQ128" s="1163">
        <f t="shared" si="362"/>
        <v>0.87</v>
      </c>
      <c r="BR128" s="1165">
        <f t="shared" si="362"/>
        <v>0.87</v>
      </c>
      <c r="BS128" s="27"/>
    </row>
    <row r="129" spans="1:71" s="671" customFormat="1" ht="15">
      <c r="A129" s="26" t="s">
        <v>101</v>
      </c>
      <c r="B129" s="493"/>
      <c r="C129" s="1163"/>
      <c r="D129" s="1163"/>
      <c r="E129" s="1164">
        <f t="shared" si="365" ref="E129:AK129">E74/E38</f>
        <v>0.84068627450980393</v>
      </c>
      <c r="F129" s="1164">
        <f t="shared" si="365"/>
        <v>0.89135802469135805</v>
      </c>
      <c r="G129" s="1164">
        <f t="shared" si="365"/>
        <v>0.8571428571428571</v>
      </c>
      <c r="H129" s="312">
        <f t="shared" si="365"/>
        <v>0.9145299145299145</v>
      </c>
      <c r="I129" s="312">
        <f t="shared" si="365"/>
        <v>0.87068965517241381</v>
      </c>
      <c r="J129" s="312">
        <f t="shared" si="365"/>
        <v>0.81739130434782614</v>
      </c>
      <c r="K129" s="312">
        <f t="shared" si="365"/>
        <v>0.85123966942148765</v>
      </c>
      <c r="L129" s="1164">
        <f t="shared" si="365"/>
        <v>0.86353944562899787</v>
      </c>
      <c r="M129" s="312">
        <f t="shared" si="365"/>
        <v>0.81666666666666665</v>
      </c>
      <c r="N129" s="312">
        <f t="shared" si="365"/>
        <v>0.81395348837209303</v>
      </c>
      <c r="O129" s="312">
        <f t="shared" si="365"/>
        <v>0.80152671755725191</v>
      </c>
      <c r="P129" s="312">
        <f t="shared" si="365"/>
        <v>0.89051094890510951</v>
      </c>
      <c r="Q129" s="1164">
        <f t="shared" si="365"/>
        <v>0.83172147001934238</v>
      </c>
      <c r="R129" s="312">
        <f t="shared" si="365"/>
        <v>0.8257575757575758</v>
      </c>
      <c r="S129" s="312">
        <f t="shared" si="365"/>
        <v>0.84172661870503596</v>
      </c>
      <c r="T129" s="312">
        <f t="shared" si="365"/>
        <v>0.86896551724137927</v>
      </c>
      <c r="U129" s="312">
        <f t="shared" si="365"/>
        <v>0.85815602836879434</v>
      </c>
      <c r="V129" s="1164">
        <f t="shared" si="365"/>
        <v>0.84919210053859961</v>
      </c>
      <c r="W129" s="312">
        <f t="shared" si="365"/>
        <v>0.85034013605442171</v>
      </c>
      <c r="X129" s="312">
        <f t="shared" si="365"/>
        <v>0.84246575342465757</v>
      </c>
      <c r="Y129" s="312">
        <f t="shared" si="365"/>
        <v>1.0211267605633803</v>
      </c>
      <c r="Z129" s="312">
        <f t="shared" si="365"/>
        <v>0.86524822695035464</v>
      </c>
      <c r="AA129" s="1164">
        <f t="shared" si="365"/>
        <v>0.89409722222222221</v>
      </c>
      <c r="AB129" s="312">
        <f t="shared" si="365"/>
        <v>0.89932885906040272</v>
      </c>
      <c r="AC129" s="312">
        <f t="shared" si="365"/>
        <v>0.86163522012578619</v>
      </c>
      <c r="AD129" s="312">
        <f t="shared" si="365"/>
        <v>0.93959731543624159</v>
      </c>
      <c r="AE129" s="312">
        <f t="shared" si="365"/>
        <v>0.85815602836879434</v>
      </c>
      <c r="AF129" s="1164">
        <f t="shared" si="365"/>
        <v>0.88963210702341133</v>
      </c>
      <c r="AG129" s="312">
        <f t="shared" si="365"/>
        <v>0.91095890410958902</v>
      </c>
      <c r="AH129" s="312">
        <f t="shared" si="365"/>
        <v>0.86092715231788075</v>
      </c>
      <c r="AI129" s="312">
        <f t="shared" si="365"/>
        <v>0.83850931677018636</v>
      </c>
      <c r="AJ129" s="312">
        <f t="shared" si="365"/>
        <v>0.78947368421052633</v>
      </c>
      <c r="AK129" s="1164">
        <f t="shared" si="365"/>
        <v>0.84918032786885245</v>
      </c>
      <c r="AL129" s="312">
        <f t="shared" si="366" ref="AL129:AV129">AL74/AL38</f>
        <v>0.89102564102564108</v>
      </c>
      <c r="AM129" s="312">
        <f t="shared" si="366"/>
        <v>1</v>
      </c>
      <c r="AN129" s="312">
        <f t="shared" si="366"/>
        <v>0.91612903225806452</v>
      </c>
      <c r="AO129" s="312">
        <f t="shared" si="366"/>
        <v>0.87341772151898733</v>
      </c>
      <c r="AP129" s="1164">
        <f t="shared" si="366"/>
        <v>0.91843393148450247</v>
      </c>
      <c r="AQ129" s="312">
        <f t="shared" si="366"/>
        <v>0.84076433121019112</v>
      </c>
      <c r="AR129" s="312">
        <f t="shared" si="366"/>
        <v>0.86624203821656054</v>
      </c>
      <c r="AS129" s="312">
        <f t="shared" si="366"/>
        <v>0.8404907975460123</v>
      </c>
      <c r="AT129" s="312">
        <f t="shared" si="366"/>
        <v>0.8545454545454545</v>
      </c>
      <c r="AU129" s="1164">
        <f t="shared" si="366"/>
        <v>0.85046728971962615</v>
      </c>
      <c r="AV129" s="312">
        <f t="shared" si="366"/>
        <v>0.82208588957055218</v>
      </c>
      <c r="AW129" s="312">
        <f t="shared" si="356"/>
        <v>0.783625730994152</v>
      </c>
      <c r="AX129" s="312">
        <f t="shared" si="356"/>
        <v>0.91228070175438591</v>
      </c>
      <c r="AY129" s="312">
        <f t="shared" si="357"/>
        <v>0.82901554404145072</v>
      </c>
      <c r="AZ129" s="1164">
        <f t="shared" si="357"/>
        <v>0.83667621776504297</v>
      </c>
      <c r="BA129" s="312">
        <f t="shared" si="358"/>
        <v>0.86734693877551017</v>
      </c>
      <c r="BB129" s="312">
        <f t="shared" si="358"/>
        <v>0.94871794871794868</v>
      </c>
      <c r="BC129" s="312">
        <f t="shared" si="359"/>
        <v>0.875</v>
      </c>
      <c r="BD129" s="312">
        <f t="shared" si="359"/>
        <v>0.81557377049180324</v>
      </c>
      <c r="BE129" s="1164">
        <f t="shared" si="359"/>
        <v>0.87312572087658591</v>
      </c>
      <c r="BF129" s="312">
        <f t="shared" si="360"/>
        <v>0.86419753086419748</v>
      </c>
      <c r="BG129" s="312">
        <f t="shared" si="360"/>
        <v>0.89626556016597514</v>
      </c>
      <c r="BH129" s="881">
        <f>BH74/BH38</f>
        <v>0.91821561338289959</v>
      </c>
      <c r="BI129" s="504">
        <f t="shared" si="359"/>
        <v>0.88</v>
      </c>
      <c r="BJ129" s="1165">
        <f t="shared" si="361"/>
        <v>0.89043933897621919</v>
      </c>
      <c r="BK129" s="504">
        <f t="shared" si="362"/>
        <v>0.87999999999999989</v>
      </c>
      <c r="BL129" s="504">
        <f t="shared" si="362"/>
        <v>0.88</v>
      </c>
      <c r="BM129" s="504">
        <f t="shared" si="362"/>
        <v>0.88</v>
      </c>
      <c r="BN129" s="504">
        <f t="shared" si="362"/>
        <v>0.88</v>
      </c>
      <c r="BO129" s="1165">
        <f t="shared" si="362"/>
        <v>0.88</v>
      </c>
      <c r="BP129" s="1163">
        <f t="shared" si="362"/>
        <v>0.88</v>
      </c>
      <c r="BQ129" s="1163">
        <f t="shared" si="362"/>
        <v>0.87999999999999978</v>
      </c>
      <c r="BR129" s="1165">
        <f t="shared" si="362"/>
        <v>0.87999999999999978</v>
      </c>
      <c r="BS129" s="27"/>
    </row>
    <row r="130" spans="1:71" s="671" customFormat="1" ht="15">
      <c r="A130" s="45" t="s">
        <v>102</v>
      </c>
      <c r="B130" s="495"/>
      <c r="C130" s="1168"/>
      <c r="D130" s="1168"/>
      <c r="E130" s="1169">
        <f t="shared" si="367" ref="E130:AK130">E75/E39</f>
        <v>0.73134328358208955</v>
      </c>
      <c r="F130" s="1169">
        <f t="shared" si="367"/>
        <v>0.78873239436619713</v>
      </c>
      <c r="G130" s="1169">
        <f t="shared" si="367"/>
        <v>0.68354430379746833</v>
      </c>
      <c r="H130" s="52">
        <f t="shared" si="367"/>
        <v>0.78260869565217395</v>
      </c>
      <c r="I130" s="52">
        <f t="shared" si="367"/>
        <v>0.91666666666666663</v>
      </c>
      <c r="J130" s="52">
        <f t="shared" si="367"/>
        <v>0.77777777777777779</v>
      </c>
      <c r="K130" s="52">
        <f t="shared" si="367"/>
        <v>0.88461538461538458</v>
      </c>
      <c r="L130" s="1169">
        <f t="shared" si="367"/>
        <v>0.84</v>
      </c>
      <c r="M130" s="52">
        <f t="shared" si="367"/>
        <v>0.86956521739130432</v>
      </c>
      <c r="N130" s="52">
        <f t="shared" si="367"/>
        <v>0.88461538461538458</v>
      </c>
      <c r="O130" s="52">
        <f t="shared" si="367"/>
        <v>0.68181818181818177</v>
      </c>
      <c r="P130" s="52">
        <f t="shared" si="367"/>
        <v>0.96153846153846156</v>
      </c>
      <c r="Q130" s="1169">
        <f t="shared" si="367"/>
        <v>0.85567010309278346</v>
      </c>
      <c r="R130" s="52">
        <f t="shared" si="367"/>
        <v>0.92</v>
      </c>
      <c r="S130" s="52">
        <f t="shared" si="367"/>
        <v>0.88461538461538458</v>
      </c>
      <c r="T130" s="52">
        <f t="shared" si="367"/>
        <v>0.91666666666666663</v>
      </c>
      <c r="U130" s="52">
        <f t="shared" si="367"/>
        <v>0.9285714285714286</v>
      </c>
      <c r="V130" s="1169">
        <f t="shared" si="367"/>
        <v>0.91262135922330101</v>
      </c>
      <c r="W130" s="52">
        <f t="shared" si="367"/>
        <v>1.04</v>
      </c>
      <c r="X130" s="52">
        <f t="shared" si="367"/>
        <v>1</v>
      </c>
      <c r="Y130" s="52">
        <f t="shared" si="367"/>
        <v>0.8666666666666667</v>
      </c>
      <c r="Z130" s="52">
        <f t="shared" si="367"/>
        <v>1.1923076923076923</v>
      </c>
      <c r="AA130" s="1169">
        <f t="shared" si="367"/>
        <v>1.0188679245283019</v>
      </c>
      <c r="AB130" s="52">
        <f t="shared" si="367"/>
        <v>0.89655172413793105</v>
      </c>
      <c r="AC130" s="52">
        <f t="shared" si="367"/>
        <v>1.0303030303030303</v>
      </c>
      <c r="AD130" s="52">
        <f t="shared" si="367"/>
        <v>1.0833333333333333</v>
      </c>
      <c r="AE130" s="52">
        <f t="shared" si="367"/>
        <v>1.1081081081081081</v>
      </c>
      <c r="AF130" s="1169">
        <f t="shared" si="367"/>
        <v>1.037037037037037</v>
      </c>
      <c r="AG130" s="52">
        <f t="shared" si="367"/>
        <v>1</v>
      </c>
      <c r="AH130" s="52">
        <f t="shared" si="367"/>
        <v>1.3333333333333333</v>
      </c>
      <c r="AI130" s="52">
        <f t="shared" si="367"/>
        <v>0.975</v>
      </c>
      <c r="AJ130" s="52">
        <f t="shared" si="367"/>
        <v>1.2702702702702702</v>
      </c>
      <c r="AK130" s="1169">
        <f t="shared" si="367"/>
        <v>1.1399999999999999</v>
      </c>
      <c r="AL130" s="52">
        <f t="shared" si="368" ref="AL130:AV130">AL75/AL39</f>
        <v>0.42342342342342343</v>
      </c>
      <c r="AM130" s="52">
        <f t="shared" si="368"/>
        <v>0.46601941747572817</v>
      </c>
      <c r="AN130" s="52">
        <f t="shared" si="368"/>
        <v>0.65217391304347827</v>
      </c>
      <c r="AO130" s="52">
        <f t="shared" si="368"/>
        <v>0.94594594594594594</v>
      </c>
      <c r="AP130" s="1169">
        <f t="shared" si="368"/>
        <v>0.59210526315789469</v>
      </c>
      <c r="AQ130" s="52">
        <f t="shared" si="368"/>
        <v>1.0588235294117647</v>
      </c>
      <c r="AR130" s="52">
        <f t="shared" si="368"/>
        <v>1.0192307692307692</v>
      </c>
      <c r="AS130" s="52">
        <f t="shared" si="368"/>
        <v>1.2264150943396226</v>
      </c>
      <c r="AT130" s="52">
        <f t="shared" si="368"/>
        <v>0.98148148148148151</v>
      </c>
      <c r="AU130" s="1169">
        <f t="shared" si="368"/>
        <v>1.0714285714285714</v>
      </c>
      <c r="AV130" s="52">
        <f t="shared" si="368"/>
        <v>1.1228070175438596</v>
      </c>
      <c r="AW130" s="52">
        <f t="shared" si="356"/>
        <v>1.1499999999999999</v>
      </c>
      <c r="AX130" s="52">
        <f t="shared" si="356"/>
        <v>1.2258064516129032</v>
      </c>
      <c r="AY130" s="52">
        <f t="shared" si="357"/>
        <v>1.1935483870967742</v>
      </c>
      <c r="AZ130" s="1169">
        <f t="shared" si="357"/>
        <v>1.1742738589211619</v>
      </c>
      <c r="BA130" s="52">
        <f t="shared" si="358"/>
        <v>1.032258064516129</v>
      </c>
      <c r="BB130" s="52">
        <f t="shared" si="358"/>
        <v>1.208955223880597</v>
      </c>
      <c r="BC130" s="52">
        <f t="shared" si="359"/>
        <v>1.098360655737705</v>
      </c>
      <c r="BD130" s="52">
        <f t="shared" si="359"/>
        <v>1.2028985507246377</v>
      </c>
      <c r="BE130" s="1169">
        <f t="shared" si="359"/>
        <v>1.1389961389961389</v>
      </c>
      <c r="BF130" s="52">
        <f t="shared" si="360"/>
        <v>1.1499999999999999</v>
      </c>
      <c r="BG130" s="52">
        <f t="shared" si="360"/>
        <v>1.3387096774193548</v>
      </c>
      <c r="BH130" s="882">
        <f>BH75/BH39</f>
        <v>1.2459016393442623</v>
      </c>
      <c r="BI130" s="758">
        <f t="shared" si="359"/>
        <v>1.05</v>
      </c>
      <c r="BJ130" s="1168">
        <f t="shared" si="361"/>
        <v>1.2012658227848101</v>
      </c>
      <c r="BK130" s="758">
        <f t="shared" si="362"/>
        <v>1.05</v>
      </c>
      <c r="BL130" s="758">
        <f t="shared" si="362"/>
        <v>1.05</v>
      </c>
      <c r="BM130" s="758">
        <f t="shared" si="362"/>
        <v>1.0499999999999998</v>
      </c>
      <c r="BN130" s="758">
        <f t="shared" si="362"/>
        <v>1.05</v>
      </c>
      <c r="BO130" s="1168">
        <f t="shared" si="362"/>
        <v>1.05</v>
      </c>
      <c r="BP130" s="1168">
        <f t="shared" si="362"/>
        <v>1.05</v>
      </c>
      <c r="BQ130" s="1168">
        <f t="shared" si="362"/>
        <v>1.05</v>
      </c>
      <c r="BR130" s="1168">
        <f t="shared" si="362"/>
        <v>1.05</v>
      </c>
      <c r="BS130" s="27"/>
    </row>
    <row r="131" spans="1:71" s="670" customFormat="1" ht="15">
      <c r="A131" s="67" t="s">
        <v>103</v>
      </c>
      <c r="B131" s="496"/>
      <c r="C131" s="1171"/>
      <c r="D131" s="1171"/>
      <c r="E131" s="1172">
        <f t="shared" si="369" ref="E131:AK131">ROUND(INDEX(MO_UI_UnderwritingExpense,0,COLUMN())/INDEX(MO_UI_NEP,0,COLUMN()),6)</f>
        <v>0.93475900000000001</v>
      </c>
      <c r="F131" s="1172">
        <f t="shared" si="369"/>
        <v>0.96944200000000003</v>
      </c>
      <c r="G131" s="1172">
        <f t="shared" si="369"/>
        <v>0.95474400000000004</v>
      </c>
      <c r="H131" s="69">
        <f t="shared" si="369"/>
        <v>0.92307700000000004</v>
      </c>
      <c r="I131" s="69">
        <f t="shared" si="369"/>
        <v>0.96885100000000002</v>
      </c>
      <c r="J131" s="69">
        <f t="shared" si="369"/>
        <v>0.95936399999999999</v>
      </c>
      <c r="K131" s="69">
        <f t="shared" si="369"/>
        <v>0.92554199999999998</v>
      </c>
      <c r="L131" s="1172">
        <f t="shared" si="369"/>
        <v>0.94533299999999998</v>
      </c>
      <c r="M131" s="69">
        <f t="shared" si="369"/>
        <v>0.93974599999999997</v>
      </c>
      <c r="N131" s="69">
        <f t="shared" si="369"/>
        <v>0.95329900000000001</v>
      </c>
      <c r="O131" s="69">
        <f t="shared" si="369"/>
        <v>0.98977000000000004</v>
      </c>
      <c r="P131" s="69">
        <f t="shared" si="369"/>
        <v>0.91607099999999997</v>
      </c>
      <c r="Q131" s="1172">
        <f t="shared" si="369"/>
        <v>0.95052099999999995</v>
      </c>
      <c r="R131" s="69">
        <f t="shared" si="369"/>
        <v>0.91683400000000004</v>
      </c>
      <c r="S131" s="69">
        <f t="shared" si="369"/>
        <v>1.00779</v>
      </c>
      <c r="T131" s="69">
        <f t="shared" si="369"/>
        <v>0.96721299999999999</v>
      </c>
      <c r="U131" s="69">
        <f t="shared" si="369"/>
        <v>0.90909099999999998</v>
      </c>
      <c r="V131" s="1172">
        <f t="shared" si="369"/>
        <v>0.94986099999999996</v>
      </c>
      <c r="W131" s="69">
        <f t="shared" si="369"/>
        <v>0.927593</v>
      </c>
      <c r="X131" s="69">
        <f t="shared" si="369"/>
        <v>0.93990600000000002</v>
      </c>
      <c r="Y131" s="69">
        <f t="shared" si="369"/>
        <v>1.067088</v>
      </c>
      <c r="Z131" s="69">
        <f t="shared" si="369"/>
        <v>0.86612199999999995</v>
      </c>
      <c r="AA131" s="1172">
        <f t="shared" si="369"/>
        <v>0.95260999999999996</v>
      </c>
      <c r="AB131" s="69">
        <f t="shared" si="369"/>
        <v>0.92321600000000004</v>
      </c>
      <c r="AC131" s="69">
        <f t="shared" si="369"/>
        <v>0.94142999999999999</v>
      </c>
      <c r="AD131" s="69">
        <f t="shared" si="369"/>
        <v>0.97663900000000003</v>
      </c>
      <c r="AE131" s="69">
        <f t="shared" si="369"/>
        <v>0.92519700000000005</v>
      </c>
      <c r="AF131" s="1172">
        <f t="shared" si="369"/>
        <v>0.94265200000000005</v>
      </c>
      <c r="AG131" s="69">
        <f t="shared" si="369"/>
        <v>0.93009399999999998</v>
      </c>
      <c r="AH131" s="69">
        <f t="shared" si="369"/>
        <v>0.9575</v>
      </c>
      <c r="AI131" s="69">
        <f t="shared" si="369"/>
        <v>0.96671300000000004</v>
      </c>
      <c r="AJ131" s="69">
        <f t="shared" si="369"/>
        <v>0.99416099999999996</v>
      </c>
      <c r="AK131" s="1172">
        <f t="shared" si="369"/>
        <v>0.96354899999999999</v>
      </c>
      <c r="AL131" s="69">
        <f t="shared" si="370" ref="AL131:AQ131">ROUND(INDEX(MO_UI_UnderwritingExpense,0,COLUMN())/INDEX(MO_UI_NEP,0,COLUMN()),6)</f>
        <v>0.93217499999999998</v>
      </c>
      <c r="AM131" s="69">
        <f t="shared" si="370"/>
        <v>0.99662200000000001</v>
      </c>
      <c r="AN131" s="69">
        <f t="shared" si="370"/>
        <v>0.99131100000000005</v>
      </c>
      <c r="AO131" s="69">
        <f t="shared" si="370"/>
        <v>0.92075499999999999</v>
      </c>
      <c r="AP131" s="1172">
        <f t="shared" si="370"/>
        <v>0.96018800000000004</v>
      </c>
      <c r="AQ131" s="69">
        <f t="shared" si="370"/>
        <v>0.89258300000000002</v>
      </c>
      <c r="AR131" s="69">
        <f t="shared" si="371" ref="AR131:AW131">ROUND(INDEX(MO_UI_UnderwritingExpense,0,COLUMN())/INDEX(MO_UI_NEP,0,COLUMN()),6)</f>
        <v>0.88239999999999996</v>
      </c>
      <c r="AS131" s="69">
        <f t="shared" si="371"/>
        <v>0.89600999999999997</v>
      </c>
      <c r="AT131" s="69">
        <f t="shared" si="371"/>
        <v>0.81267199999999995</v>
      </c>
      <c r="AU131" s="1172">
        <f t="shared" si="371"/>
        <v>0.869726</v>
      </c>
      <c r="AV131" s="69">
        <f t="shared" si="371"/>
        <v>0.84946200000000005</v>
      </c>
      <c r="AW131" s="69">
        <f t="shared" si="371"/>
        <v>0.865039</v>
      </c>
      <c r="AX131" s="69">
        <f t="shared" si="372" ref="AX131:BJ131">ROUND(INDEX(MO_UI_UnderwritingExpense,0,COLUMN())/INDEX(MO_UI_NEP,0,COLUMN()),6)</f>
        <v>0.91567600000000005</v>
      </c>
      <c r="AY131" s="69">
        <f t="shared" si="372"/>
        <v>0.87122599999999994</v>
      </c>
      <c r="AZ131" s="1172">
        <f t="shared" si="372"/>
        <v>0.87806099999999998</v>
      </c>
      <c r="BA131" s="69">
        <f t="shared" si="373" ref="BA131:BI131">ROUND(INDEX(MO_UI_UnderwritingExpense,0,COLUMN())/INDEX(MO_UI_NEP,0,COLUMN()),6)</f>
        <v>0.89909499999999998</v>
      </c>
      <c r="BB131" s="69">
        <f t="shared" si="373"/>
        <v>0.92302600000000001</v>
      </c>
      <c r="BC131" s="69">
        <f t="shared" si="373"/>
        <v>0.93530999999999997</v>
      </c>
      <c r="BD131" s="69">
        <f t="shared" si="373"/>
        <v>0.88452699999999995</v>
      </c>
      <c r="BE131" s="1172">
        <f t="shared" si="373"/>
        <v>0.91103999999999996</v>
      </c>
      <c r="BF131" s="69">
        <f>ROUND(INDEX(MO_UI_UnderwritingExpense,0,COLUMN())/INDEX(MO_UI_NEP,0,COLUMN()),6)</f>
        <v>0.91138399999999997</v>
      </c>
      <c r="BG131" s="69">
        <f>ROUND(INDEX(MO_UI_UnderwritingExpense,0,COLUMN())/INDEX(MO_UI_NEP,0,COLUMN()),6)</f>
        <v>0.909779</v>
      </c>
      <c r="BH131" s="883">
        <f>ROUND(INDEX(MO_UI_UnderwritingExpense,0,COLUMN())/INDEX(MO_UI_NEP,0,COLUMN()),6)</f>
        <v>0.946959</v>
      </c>
      <c r="BI131" s="757">
        <f t="shared" si="373"/>
        <v>0.898949</v>
      </c>
      <c r="BJ131" s="1171">
        <f t="shared" si="372"/>
        <v>0.91935199999999995</v>
      </c>
      <c r="BK131" s="757">
        <f t="shared" si="374" ref="BK131:BR131">ROUND(INDEX(MO_UI_UnderwritingExpense,0,COLUMN())/INDEX(MO_UI_NEP,0,COLUMN()),6)</f>
        <v>0.84422699999999995</v>
      </c>
      <c r="BL131" s="757">
        <f t="shared" si="374"/>
        <v>0.87602599999999997</v>
      </c>
      <c r="BM131" s="757">
        <f t="shared" si="374"/>
        <v>0.87394499999999997</v>
      </c>
      <c r="BN131" s="757">
        <f t="shared" si="374"/>
        <v>0.832619</v>
      </c>
      <c r="BO131" s="1171">
        <f t="shared" si="374"/>
        <v>0.85708499999999999</v>
      </c>
      <c r="BP131" s="1171">
        <f t="shared" si="374"/>
        <v>0.87509300000000001</v>
      </c>
      <c r="BQ131" s="1171">
        <f t="shared" si="374"/>
        <v>0.87315100000000001</v>
      </c>
      <c r="BR131" s="1171">
        <f t="shared" si="374"/>
        <v>0.87299899999999997</v>
      </c>
      <c r="BS131" s="29"/>
    </row>
    <row r="132" spans="1:71" s="670" customFormat="1" ht="15">
      <c r="A132" s="624" t="s">
        <v>562</v>
      </c>
      <c r="B132" s="625"/>
      <c r="C132" s="1173"/>
      <c r="D132" s="1173"/>
      <c r="E132" s="1173"/>
      <c r="F132" s="1176">
        <f>(F44+F49+F54+F59+F61+F62+F71)/F41</f>
        <v>0.97927643133122588</v>
      </c>
      <c r="G132" s="1176">
        <f t="shared" si="375" ref="G132:AU132">(G44+G49+G54+G59+G61+G62+G71)/G41</f>
        <v>0.96223470661672905</v>
      </c>
      <c r="H132" s="313">
        <f t="shared" si="375"/>
        <v>0.94562334217506627</v>
      </c>
      <c r="I132" s="313">
        <f t="shared" si="375"/>
        <v>0.94092373791621908</v>
      </c>
      <c r="J132" s="313">
        <f t="shared" si="375"/>
        <v>0.96466431095406358</v>
      </c>
      <c r="K132" s="313">
        <f t="shared" si="375"/>
        <v>0.91046182846371349</v>
      </c>
      <c r="L132" s="1176">
        <f t="shared" si="375"/>
        <v>0.94043321299638993</v>
      </c>
      <c r="M132" s="313">
        <f t="shared" si="375"/>
        <v>0.93974630021141647</v>
      </c>
      <c r="N132" s="313">
        <f t="shared" si="375"/>
        <v>0.95228426395939081</v>
      </c>
      <c r="O132" s="313">
        <f t="shared" si="375"/>
        <v>0.98806479113384482</v>
      </c>
      <c r="P132" s="313">
        <f t="shared" si="375"/>
        <v>0.91160714285714284</v>
      </c>
      <c r="Q132" s="1176">
        <f t="shared" si="375"/>
        <v>0.94862689393939392</v>
      </c>
      <c r="R132" s="313">
        <f t="shared" si="375"/>
        <v>0.93386773547094193</v>
      </c>
      <c r="S132" s="313">
        <f t="shared" si="375"/>
        <v>1.0185004868549172</v>
      </c>
      <c r="T132" s="313">
        <f t="shared" si="375"/>
        <v>0.96635030198446936</v>
      </c>
      <c r="U132" s="313">
        <f t="shared" si="375"/>
        <v>0.8898601398601399</v>
      </c>
      <c r="V132" s="1176">
        <f t="shared" si="375"/>
        <v>0.95101663585951945</v>
      </c>
      <c r="W132" s="313">
        <f t="shared" si="375"/>
        <v>0.95205479452054798</v>
      </c>
      <c r="X132" s="313">
        <f t="shared" si="375"/>
        <v>0.94553990610328642</v>
      </c>
      <c r="Y132" s="313">
        <f t="shared" si="375"/>
        <v>1.0118389897395421</v>
      </c>
      <c r="Z132" s="313">
        <f t="shared" si="375"/>
        <v>0.90612244897959182</v>
      </c>
      <c r="AA132" s="1176">
        <f t="shared" si="375"/>
        <v>0.95479362306180393</v>
      </c>
      <c r="AB132" s="313">
        <f t="shared" si="375"/>
        <v>0.96205962059620598</v>
      </c>
      <c r="AC132" s="313">
        <f t="shared" si="375"/>
        <v>0.96726959517657196</v>
      </c>
      <c r="AD132" s="313">
        <f t="shared" si="375"/>
        <v>0.98718914845516204</v>
      </c>
      <c r="AE132" s="313">
        <f t="shared" si="375"/>
        <v>0.94803149606299209</v>
      </c>
      <c r="AF132" s="1176">
        <f t="shared" si="375"/>
        <v>0.96649537512846861</v>
      </c>
      <c r="AG132" s="313">
        <f t="shared" si="375"/>
        <v>0.95822676896845693</v>
      </c>
      <c r="AH132" s="313">
        <f t="shared" si="375"/>
        <v>0.98583333333333334</v>
      </c>
      <c r="AI132" s="313">
        <f t="shared" si="375"/>
        <v>0.98335644937586686</v>
      </c>
      <c r="AJ132" s="313">
        <f t="shared" si="375"/>
        <v>1.0255474452554745</v>
      </c>
      <c r="AK132" s="1176">
        <f t="shared" si="375"/>
        <v>0.98939247830279653</v>
      </c>
      <c r="AL132" s="313">
        <f t="shared" si="375"/>
        <v>0.96608767576509513</v>
      </c>
      <c r="AM132" s="313">
        <f t="shared" si="375"/>
        <v>0.97888513513513509</v>
      </c>
      <c r="AN132" s="313">
        <f t="shared" si="375"/>
        <v>1.004344677769732</v>
      </c>
      <c r="AO132" s="313">
        <f t="shared" si="375"/>
        <v>0.93132075471698117</v>
      </c>
      <c r="AP132" s="1176">
        <f t="shared" si="375"/>
        <v>0.97038635026475784</v>
      </c>
      <c r="AQ132" s="313">
        <f t="shared" si="375"/>
        <v>0.91986359761295822</v>
      </c>
      <c r="AR132" s="313">
        <f t="shared" si="375"/>
        <v>0.9304</v>
      </c>
      <c r="AS132" s="313">
        <f t="shared" si="375"/>
        <v>0.93394375408763897</v>
      </c>
      <c r="AT132" s="313">
        <f t="shared" si="375"/>
        <v>0.84297520661157022</v>
      </c>
      <c r="AU132" s="1176">
        <f t="shared" si="375"/>
        <v>0.90562546262028132</v>
      </c>
      <c r="AV132" s="313">
        <f t="shared" si="376" ref="AV132:AZ132">(AV44+AV49+AV54+AV59+AV61+AV62+AV71)/AV41</f>
        <v>0.91628264208909371</v>
      </c>
      <c r="AW132" s="313">
        <f t="shared" si="376"/>
        <v>0.91672648959081116</v>
      </c>
      <c r="AX132" s="313">
        <f t="shared" si="376"/>
        <v>0.92586304470854552</v>
      </c>
      <c r="AY132" s="313">
        <f t="shared" si="376"/>
        <v>0.90819470117067158</v>
      </c>
      <c r="AZ132" s="1176">
        <f t="shared" si="376"/>
        <v>0.91700903861955629</v>
      </c>
      <c r="BA132" s="313">
        <f t="shared" si="377" ref="BA132:BR132">(BA44+BA49+BA54+BA59+BA61+BA62+BA71)/BA41</f>
        <v>0.92762700069589421</v>
      </c>
      <c r="BB132" s="313">
        <f t="shared" si="377"/>
        <v>0.93231585932315864</v>
      </c>
      <c r="BC132" s="313">
        <f t="shared" si="377"/>
        <v>0.93153638814016171</v>
      </c>
      <c r="BD132" s="313">
        <f t="shared" si="377"/>
        <v>0.90762124711316394</v>
      </c>
      <c r="BE132" s="1176">
        <f t="shared" si="377"/>
        <v>0.9245138569897412</v>
      </c>
      <c r="BF132" s="313">
        <f>(BF44+BF49+BF54+BF59+BF61+BF62+BF71)/BF41</f>
        <v>0.92561448900388099</v>
      </c>
      <c r="BG132" s="313">
        <f>(BG44+BG49+BG54+BG59+BG61+BG62+BG71)/BG41</f>
        <v>0.9242902208201893</v>
      </c>
      <c r="BH132" s="886">
        <f>(BH44+BH49+BH54+BH59+BH61+BH62+BH71)/BH41</f>
        <v>0.91289537712895374</v>
      </c>
      <c r="BI132" s="424">
        <f t="shared" si="377"/>
        <v>0.89894930841751663</v>
      </c>
      <c r="BJ132" s="1173">
        <f t="shared" si="377"/>
        <v>0.9155748566955394</v>
      </c>
      <c r="BK132" s="424">
        <f t="shared" si="377"/>
        <v>0.84422737971673456</v>
      </c>
      <c r="BL132" s="424">
        <f t="shared" si="377"/>
        <v>0.8760263622672112</v>
      </c>
      <c r="BM132" s="424">
        <f t="shared" si="377"/>
        <v>0.87394526026387753</v>
      </c>
      <c r="BN132" s="424">
        <f t="shared" si="377"/>
        <v>0.83261906902865546</v>
      </c>
      <c r="BO132" s="1173">
        <f t="shared" si="377"/>
        <v>0.85708500422556355</v>
      </c>
      <c r="BP132" s="1173">
        <f t="shared" si="377"/>
        <v>0.87509304874827154</v>
      </c>
      <c r="BQ132" s="1173">
        <f t="shared" si="377"/>
        <v>0.87315103809252537</v>
      </c>
      <c r="BR132" s="1173">
        <f t="shared" si="377"/>
        <v>0.87299867560371491</v>
      </c>
      <c r="BS132" s="29"/>
    </row>
    <row r="133" spans="1:71" s="676" customFormat="1" ht="15">
      <c r="A133" s="58" t="str">
        <f>CONCATENATE("Consensus Estimates - ",IFERROR(LEFT(A132,FIND("(",A132)-1),A132))</f>
        <v>Consensus Estimates - Adjusted Combined Ratio, %</v>
      </c>
      <c r="B133" s="166"/>
      <c r="C133" s="1177"/>
      <c r="D133" s="1177"/>
      <c r="E133" s="1177"/>
      <c r="F133" s="1177"/>
      <c r="G133" s="1177"/>
      <c r="H133" s="786"/>
      <c r="I133" s="786"/>
      <c r="J133" s="786"/>
      <c r="K133" s="786"/>
      <c r="L133" s="1177"/>
      <c r="M133" s="786"/>
      <c r="N133" s="786"/>
      <c r="O133" s="786"/>
      <c r="P133" s="786"/>
      <c r="Q133" s="1177"/>
      <c r="R133" s="786"/>
      <c r="S133" s="786"/>
      <c r="T133" s="786"/>
      <c r="U133" s="786"/>
      <c r="V133" s="1177"/>
      <c r="W133" s="786"/>
      <c r="X133" s="786"/>
      <c r="Y133" s="786"/>
      <c r="Z133" s="786"/>
      <c r="AA133" s="1177"/>
      <c r="AB133" s="786"/>
      <c r="AC133" s="786"/>
      <c r="AD133" s="786"/>
      <c r="AE133" s="786"/>
      <c r="AF133" s="1177"/>
      <c r="AG133" s="786"/>
      <c r="AH133" s="786"/>
      <c r="AI133" s="786"/>
      <c r="AJ133" s="786"/>
      <c r="AK133" s="1177"/>
      <c r="AL133" s="786"/>
      <c r="AM133" s="786"/>
      <c r="AN133" s="786"/>
      <c r="AO133" s="786"/>
      <c r="AP133" s="1177"/>
      <c r="AQ133" s="786"/>
      <c r="AR133" s="786"/>
      <c r="AS133" s="786"/>
      <c r="AT133" s="786"/>
      <c r="AU133" s="1177"/>
      <c r="AV133" s="786"/>
      <c r="AW133" s="786"/>
      <c r="AX133" s="786"/>
      <c r="AY133" s="786"/>
      <c r="AZ133" s="1177"/>
      <c r="BA133" s="786"/>
      <c r="BB133" s="786"/>
      <c r="BC133" s="786"/>
      <c r="BD133" s="786"/>
      <c r="BE133" s="1177"/>
      <c r="BF133" s="786"/>
      <c r="BG133" s="786"/>
      <c r="BH133" s="887"/>
      <c r="BI133" s="926" t="str">
        <f ca="1" t="shared" si="378" ref="BI133:BO133">IFERROR(VLOOKUP($A133,tb_ConsensusEstimate,MATCH(BI$5,OFFSET(tb_ConsensusEstimate,0,0,1,COLUMNS(tb_ConsensusEstimate)),0),FALSE),"-")</f>
        <v>N/A</v>
      </c>
      <c r="BJ133" s="1178" t="str">
        <f t="shared" ca="1" si="378"/>
        <v>N/A</v>
      </c>
      <c r="BK133" s="926" t="str">
        <f t="shared" ca="1" si="378"/>
        <v>N/A</v>
      </c>
      <c r="BL133" s="926" t="str">
        <f t="shared" ca="1" si="378"/>
        <v>N/A</v>
      </c>
      <c r="BM133" s="926" t="str">
        <f t="shared" ca="1" si="378"/>
        <v>N/A</v>
      </c>
      <c r="BN133" s="926" t="str">
        <f t="shared" ca="1" si="378"/>
        <v>N/A</v>
      </c>
      <c r="BO133" s="1178" t="str">
        <f t="shared" ca="1" si="378"/>
        <v>N/A</v>
      </c>
      <c r="BP133" s="1179" t="str">
        <f ca="1">IFERROR(VLOOKUP($A133,tb_ConsensusEstimate,MATCH(BP5,OFFSET(tb_ConsensusEstimate,0,0,1,COLUMNS(tb_ConsensusEstimate)),0),FALSE),"-")</f>
        <v>N/A</v>
      </c>
      <c r="BQ133" s="1179" t="str">
        <f ca="1">IFERROR(VLOOKUP($A133,tb_ConsensusEstimate,MATCH(BQ5,OFFSET(tb_ConsensusEstimate,0,0,1,COLUMNS(tb_ConsensusEstimate)),0),FALSE),"-")</f>
        <v>N/A</v>
      </c>
      <c r="BR133" s="1178" t="str">
        <f ca="1">IFERROR(VLOOKUP($A133,tb_ConsensusEstimate,MATCH(BR5,OFFSET(tb_ConsensusEstimate,0,0,1,COLUMNS(tb_ConsensusEstimate)),0),FALSE),"-")</f>
        <v>N/A</v>
      </c>
      <c r="BS133" s="59"/>
    </row>
    <row r="134" spans="1:71" s="667" customFormat="1" ht="15">
      <c r="A134" s="499"/>
      <c r="B134" s="500"/>
      <c r="C134" s="1161"/>
      <c r="D134" s="1161"/>
      <c r="E134" s="1161"/>
      <c r="F134" s="1161"/>
      <c r="G134" s="1161"/>
      <c r="H134" s="971"/>
      <c r="I134" s="971"/>
      <c r="J134" s="971"/>
      <c r="K134" s="971"/>
      <c r="L134" s="1161"/>
      <c r="M134" s="971"/>
      <c r="N134" s="971"/>
      <c r="O134" s="971"/>
      <c r="P134" s="971"/>
      <c r="Q134" s="1161"/>
      <c r="R134" s="971"/>
      <c r="S134" s="971"/>
      <c r="T134" s="971"/>
      <c r="U134" s="971"/>
      <c r="V134" s="1161"/>
      <c r="W134" s="971"/>
      <c r="X134" s="971"/>
      <c r="Y134" s="971"/>
      <c r="Z134" s="971"/>
      <c r="AA134" s="1161"/>
      <c r="AB134" s="971"/>
      <c r="AC134" s="971"/>
      <c r="AD134" s="971"/>
      <c r="AE134" s="971"/>
      <c r="AF134" s="1161"/>
      <c r="AG134" s="971"/>
      <c r="AH134" s="971"/>
      <c r="AI134" s="971"/>
      <c r="AJ134" s="971"/>
      <c r="AK134" s="1161"/>
      <c r="AL134" s="971"/>
      <c r="AM134" s="971"/>
      <c r="AN134" s="971"/>
      <c r="AO134" s="971"/>
      <c r="AP134" s="1161"/>
      <c r="AQ134" s="971"/>
      <c r="AR134" s="971"/>
      <c r="AS134" s="971"/>
      <c r="AT134" s="971"/>
      <c r="AU134" s="1161"/>
      <c r="AV134" s="971"/>
      <c r="AW134" s="971"/>
      <c r="AX134" s="971"/>
      <c r="AY134" s="971"/>
      <c r="AZ134" s="1161"/>
      <c r="BA134" s="971"/>
      <c r="BB134" s="971"/>
      <c r="BC134" s="971"/>
      <c r="BD134" s="971"/>
      <c r="BE134" s="1161"/>
      <c r="BF134" s="971"/>
      <c r="BG134" s="971"/>
      <c r="BH134" s="972"/>
      <c r="BI134" s="973"/>
      <c r="BJ134" s="1162"/>
      <c r="BK134" s="973"/>
      <c r="BL134" s="973"/>
      <c r="BM134" s="973"/>
      <c r="BN134" s="973"/>
      <c r="BO134" s="1162"/>
      <c r="BP134" s="1161"/>
      <c r="BQ134" s="1161"/>
      <c r="BR134" s="1162"/>
      <c r="BS134" s="664"/>
    </row>
    <row r="135" spans="1:71" s="672" customFormat="1" ht="15">
      <c r="A135" s="951" t="s">
        <v>104</v>
      </c>
      <c r="B135" s="951"/>
      <c r="C135" s="967"/>
      <c r="D135" s="967"/>
      <c r="E135" s="967"/>
      <c r="F135" s="967"/>
      <c r="G135" s="967"/>
      <c r="H135" s="967"/>
      <c r="I135" s="967"/>
      <c r="J135" s="967"/>
      <c r="K135" s="967"/>
      <c r="L135" s="967"/>
      <c r="M135" s="967"/>
      <c r="N135" s="967"/>
      <c r="O135" s="967"/>
      <c r="P135" s="967"/>
      <c r="Q135" s="967"/>
      <c r="R135" s="967"/>
      <c r="S135" s="967"/>
      <c r="T135" s="967"/>
      <c r="U135" s="967"/>
      <c r="V135" s="967"/>
      <c r="W135" s="967"/>
      <c r="X135" s="967"/>
      <c r="Y135" s="967"/>
      <c r="Z135" s="967"/>
      <c r="AA135" s="967"/>
      <c r="AB135" s="967"/>
      <c r="AC135" s="967"/>
      <c r="AD135" s="967"/>
      <c r="AE135" s="967"/>
      <c r="AF135" s="967"/>
      <c r="AG135" s="967"/>
      <c r="AH135" s="967"/>
      <c r="AI135" s="967"/>
      <c r="AJ135" s="967"/>
      <c r="AK135" s="967"/>
      <c r="AL135" s="967"/>
      <c r="AM135" s="967"/>
      <c r="AN135" s="967"/>
      <c r="AO135" s="967"/>
      <c r="AP135" s="967"/>
      <c r="AQ135" s="967"/>
      <c r="AR135" s="967"/>
      <c r="AS135" s="967"/>
      <c r="AT135" s="967"/>
      <c r="AU135" s="967"/>
      <c r="AV135" s="967"/>
      <c r="AW135" s="967"/>
      <c r="AX135" s="967"/>
      <c r="AY135" s="967"/>
      <c r="AZ135" s="967"/>
      <c r="BA135" s="967"/>
      <c r="BB135" s="967"/>
      <c r="BC135" s="967"/>
      <c r="BD135" s="967"/>
      <c r="BE135" s="967"/>
      <c r="BF135" s="967"/>
      <c r="BG135" s="967"/>
      <c r="BH135" s="968"/>
      <c r="BI135" s="969"/>
      <c r="BJ135" s="969"/>
      <c r="BK135" s="969"/>
      <c r="BL135" s="969"/>
      <c r="BM135" s="969"/>
      <c r="BN135" s="969"/>
      <c r="BO135" s="969"/>
      <c r="BP135" s="967"/>
      <c r="BQ135" s="967"/>
      <c r="BR135" s="969"/>
      <c r="BS135" s="456"/>
    </row>
    <row r="136" spans="1:71" s="673" customFormat="1" ht="15" hidden="1" outlineLevel="1">
      <c r="A136" s="114" t="s">
        <v>105</v>
      </c>
      <c r="B136" s="480"/>
      <c r="C136" s="1140">
        <f t="shared" si="379" ref="C136:AK136">C557</f>
        <v>1568</v>
      </c>
      <c r="D136" s="1140">
        <f t="shared" si="379"/>
        <v>1534</v>
      </c>
      <c r="E136" s="1140">
        <f t="shared" si="379"/>
        <v>1484</v>
      </c>
      <c r="F136" s="1140">
        <f t="shared" si="379"/>
        <v>1651</v>
      </c>
      <c r="G136" s="1140">
        <f t="shared" si="379"/>
        <v>1757</v>
      </c>
      <c r="H136" s="288">
        <f t="shared" si="379"/>
        <v>1788</v>
      </c>
      <c r="I136" s="288">
        <f t="shared" si="379"/>
        <v>1911</v>
      </c>
      <c r="J136" s="288">
        <f t="shared" si="379"/>
        <v>2114</v>
      </c>
      <c r="K136" s="288">
        <f t="shared" si="379"/>
        <v>1956</v>
      </c>
      <c r="L136" s="1140">
        <f t="shared" si="379"/>
        <v>1956</v>
      </c>
      <c r="M136" s="288">
        <f t="shared" si="379"/>
        <v>1936</v>
      </c>
      <c r="N136" s="288">
        <f t="shared" si="379"/>
        <v>2004</v>
      </c>
      <c r="O136" s="288">
        <f t="shared" si="379"/>
        <v>2238</v>
      </c>
      <c r="P136" s="288">
        <f t="shared" si="379"/>
        <v>2060</v>
      </c>
      <c r="Q136" s="1140">
        <f t="shared" si="379"/>
        <v>2060</v>
      </c>
      <c r="R136" s="288">
        <f t="shared" si="379"/>
        <v>2051</v>
      </c>
      <c r="S136" s="288">
        <f t="shared" si="379"/>
        <v>2109</v>
      </c>
      <c r="T136" s="288">
        <f t="shared" si="379"/>
        <v>2328</v>
      </c>
      <c r="U136" s="288">
        <f t="shared" si="379"/>
        <v>2171</v>
      </c>
      <c r="V136" s="1140">
        <f t="shared" si="379"/>
        <v>2171</v>
      </c>
      <c r="W136" s="288">
        <f t="shared" si="379"/>
        <v>2174</v>
      </c>
      <c r="X136" s="288">
        <f t="shared" si="379"/>
        <v>2294</v>
      </c>
      <c r="Y136" s="288">
        <f t="shared" si="379"/>
        <v>2567</v>
      </c>
      <c r="Z136" s="288">
        <f t="shared" si="379"/>
        <v>2410</v>
      </c>
      <c r="AA136" s="1140">
        <f t="shared" si="379"/>
        <v>2410</v>
      </c>
      <c r="AB136" s="288">
        <f t="shared" si="379"/>
        <v>2413</v>
      </c>
      <c r="AC136" s="288">
        <f t="shared" si="379"/>
        <v>2539</v>
      </c>
      <c r="AD136" s="288">
        <f t="shared" si="379"/>
        <v>2740</v>
      </c>
      <c r="AE136" s="288">
        <f t="shared" si="379"/>
        <v>2595</v>
      </c>
      <c r="AF136" s="1140">
        <f t="shared" si="379"/>
        <v>2595</v>
      </c>
      <c r="AG136" s="288">
        <f t="shared" si="379"/>
        <v>2605</v>
      </c>
      <c r="AH136" s="288">
        <f t="shared" si="379"/>
        <v>2683</v>
      </c>
      <c r="AI136" s="288">
        <f t="shared" si="379"/>
        <v>2986</v>
      </c>
      <c r="AJ136" s="288">
        <f t="shared" si="379"/>
        <v>2830</v>
      </c>
      <c r="AK136" s="1140">
        <f t="shared" si="379"/>
        <v>2830</v>
      </c>
      <c r="AL136" s="288">
        <f t="shared" si="380" ref="AL136:AQ136">AL557</f>
        <v>2808</v>
      </c>
      <c r="AM136" s="288">
        <f t="shared" si="380"/>
        <v>2778</v>
      </c>
      <c r="AN136" s="288">
        <f t="shared" si="380"/>
        <v>3015</v>
      </c>
      <c r="AO136" s="288">
        <f t="shared" si="380"/>
        <v>2803</v>
      </c>
      <c r="AP136" s="1140">
        <f t="shared" si="380"/>
        <v>2803</v>
      </c>
      <c r="AQ136" s="288">
        <f t="shared" si="380"/>
        <v>2821</v>
      </c>
      <c r="AR136" s="288">
        <f t="shared" si="381" ref="AR136:AW136">AR557</f>
        <v>3054</v>
      </c>
      <c r="AS136" s="288">
        <f t="shared" si="381"/>
        <v>3415</v>
      </c>
      <c r="AT136" s="288">
        <f t="shared" si="381"/>
        <v>3041</v>
      </c>
      <c r="AU136" s="1140">
        <f t="shared" si="381"/>
        <v>3041</v>
      </c>
      <c r="AV136" s="288">
        <f t="shared" si="381"/>
        <v>3206</v>
      </c>
      <c r="AW136" s="288">
        <f t="shared" si="381"/>
        <v>3397</v>
      </c>
      <c r="AX136" s="288">
        <f t="shared" si="382" ref="AX136:BC136">AX557</f>
        <v>3785</v>
      </c>
      <c r="AY136" s="288">
        <f t="shared" si="382"/>
        <v>3246</v>
      </c>
      <c r="AZ136" s="1140">
        <f t="shared" si="382"/>
        <v>3246</v>
      </c>
      <c r="BA136" s="288">
        <f t="shared" si="382"/>
        <v>3435</v>
      </c>
      <c r="BB136" s="288">
        <f t="shared" si="382"/>
        <v>3686</v>
      </c>
      <c r="BC136" s="288">
        <f t="shared" si="382"/>
        <v>3997</v>
      </c>
      <c r="BD136" s="288">
        <f>BD557</f>
        <v>3451</v>
      </c>
      <c r="BE136" s="1140">
        <f>BE557</f>
        <v>3451</v>
      </c>
      <c r="BF136" s="288">
        <f>BF557</f>
        <v>3650</v>
      </c>
      <c r="BG136" s="288">
        <f>BG557</f>
        <v>3816</v>
      </c>
      <c r="BH136" s="875">
        <f>BH557</f>
        <v>4320</v>
      </c>
      <c r="BI136" s="171">
        <f>BH136+INDEX(MO_UPR_ChangeInGUPR,0,COLUMN())</f>
        <v>4570.1790170000004</v>
      </c>
      <c r="BJ136" s="1133">
        <f>BI136</f>
        <v>4570.1790170000004</v>
      </c>
      <c r="BK136" s="171">
        <f>BJ136+INDEX(MO_UPR_ChangeInGUPR,0,COLUMN())</f>
        <v>4886.6304050000008</v>
      </c>
      <c r="BL136" s="171">
        <f>BK136+INDEX(MO_UPR_ChangeInGUPR,0,COLUMN())</f>
        <v>5267.5395020000005</v>
      </c>
      <c r="BM136" s="171">
        <f>BL136+INDEX(MO_UPR_ChangeInGUPR,0,COLUMN())</f>
        <v>5836.5026420000004</v>
      </c>
      <c r="BN136" s="171">
        <f>BM136+INDEX(MO_UPR_ChangeInGUPR,0,COLUMN())</f>
        <v>6185.2433500000006</v>
      </c>
      <c r="BO136" s="1133">
        <f>BN136</f>
        <v>6185.2433500000006</v>
      </c>
      <c r="BP136" s="1131">
        <f>BO136+INDEX(MO_UPR_ChangeInGUPR,0,COLUMN())</f>
        <v>7818.5935310000004</v>
      </c>
      <c r="BQ136" s="1131">
        <f>BP136+INDEX(MO_UPR_ChangeInGUPR,0,COLUMN())</f>
        <v>9599.0079700000006</v>
      </c>
      <c r="BR136" s="1133">
        <f>BQ136+INDEX(MO_UPR_ChangeInGUPR,0,COLUMN())</f>
        <v>11453.499909</v>
      </c>
      <c r="BS136" s="32"/>
    </row>
    <row r="137" spans="1:71" s="673" customFormat="1" ht="15" hidden="1" outlineLevel="1">
      <c r="A137" s="115" t="s">
        <v>106</v>
      </c>
      <c r="B137" s="481"/>
      <c r="C137" s="1141">
        <f t="shared" si="383" ref="C137:AK137">C544</f>
        <v>381</v>
      </c>
      <c r="D137" s="1141">
        <f t="shared" si="383"/>
        <v>422</v>
      </c>
      <c r="E137" s="1141">
        <f t="shared" si="383"/>
        <v>409</v>
      </c>
      <c r="F137" s="1141">
        <f t="shared" si="383"/>
        <v>471</v>
      </c>
      <c r="G137" s="1141">
        <f t="shared" si="383"/>
        <v>408</v>
      </c>
      <c r="H137" s="39">
        <f t="shared" si="383"/>
        <v>438</v>
      </c>
      <c r="I137" s="39">
        <f t="shared" si="383"/>
        <v>489</v>
      </c>
      <c r="J137" s="39">
        <f t="shared" si="383"/>
        <v>587</v>
      </c>
      <c r="K137" s="39">
        <f t="shared" si="383"/>
        <v>469</v>
      </c>
      <c r="L137" s="1141">
        <f t="shared" si="383"/>
        <v>469</v>
      </c>
      <c r="M137" s="39">
        <f t="shared" si="383"/>
        <v>475</v>
      </c>
      <c r="N137" s="39">
        <f t="shared" si="383"/>
        <v>499</v>
      </c>
      <c r="O137" s="39">
        <f t="shared" si="383"/>
        <v>604</v>
      </c>
      <c r="P137" s="39">
        <f t="shared" si="383"/>
        <v>480</v>
      </c>
      <c r="Q137" s="1141">
        <f t="shared" si="383"/>
        <v>480</v>
      </c>
      <c r="R137" s="39">
        <f t="shared" si="383"/>
        <v>475</v>
      </c>
      <c r="S137" s="39">
        <f t="shared" si="383"/>
        <v>521</v>
      </c>
      <c r="T137" s="39">
        <f t="shared" si="383"/>
        <v>634</v>
      </c>
      <c r="U137" s="39">
        <f t="shared" si="383"/>
        <v>539</v>
      </c>
      <c r="V137" s="1141">
        <f t="shared" si="383"/>
        <v>539</v>
      </c>
      <c r="W137" s="39">
        <f t="shared" si="383"/>
        <v>533</v>
      </c>
      <c r="X137" s="39">
        <f t="shared" si="383"/>
        <v>587</v>
      </c>
      <c r="Y137" s="39">
        <f t="shared" si="383"/>
        <v>691</v>
      </c>
      <c r="Z137" s="39">
        <f t="shared" si="383"/>
        <v>600</v>
      </c>
      <c r="AA137" s="1141">
        <f t="shared" si="383"/>
        <v>600</v>
      </c>
      <c r="AB137" s="39">
        <f t="shared" si="383"/>
        <v>614</v>
      </c>
      <c r="AC137" s="39">
        <f t="shared" si="383"/>
        <v>645</v>
      </c>
      <c r="AD137" s="39">
        <f t="shared" si="383"/>
        <v>717</v>
      </c>
      <c r="AE137" s="39">
        <f t="shared" si="383"/>
        <v>610</v>
      </c>
      <c r="AF137" s="1141">
        <f t="shared" si="383"/>
        <v>610</v>
      </c>
      <c r="AG137" s="39">
        <f t="shared" si="383"/>
        <v>636</v>
      </c>
      <c r="AH137" s="39">
        <f t="shared" si="383"/>
        <v>651</v>
      </c>
      <c r="AI137" s="39">
        <f t="shared" si="383"/>
        <v>781</v>
      </c>
      <c r="AJ137" s="39">
        <f t="shared" si="383"/>
        <v>678</v>
      </c>
      <c r="AK137" s="1141">
        <f t="shared" si="383"/>
        <v>678</v>
      </c>
      <c r="AL137" s="39">
        <f t="shared" si="384" ref="AL137:AQ137">AL544</f>
        <v>708</v>
      </c>
      <c r="AM137" s="39">
        <f t="shared" si="384"/>
        <v>733</v>
      </c>
      <c r="AN137" s="39">
        <f t="shared" si="384"/>
        <v>862</v>
      </c>
      <c r="AO137" s="39">
        <f t="shared" si="384"/>
        <v>768</v>
      </c>
      <c r="AP137" s="1141">
        <f t="shared" si="384"/>
        <v>768</v>
      </c>
      <c r="AQ137" s="39">
        <f t="shared" si="384"/>
        <v>755</v>
      </c>
      <c r="AR137" s="39">
        <f t="shared" si="385" ref="AR137:AW137">AR544</f>
        <v>865</v>
      </c>
      <c r="AS137" s="39">
        <f t="shared" si="385"/>
        <v>1028</v>
      </c>
      <c r="AT137" s="39">
        <f t="shared" si="385"/>
        <v>834</v>
      </c>
      <c r="AU137" s="1141">
        <f t="shared" si="385"/>
        <v>834</v>
      </c>
      <c r="AV137" s="39">
        <f t="shared" si="385"/>
        <v>933</v>
      </c>
      <c r="AW137" s="39">
        <f t="shared" si="385"/>
        <v>1006</v>
      </c>
      <c r="AX137" s="39">
        <f t="shared" si="386" ref="AX137:BC137">AX544</f>
        <v>1180</v>
      </c>
      <c r="AY137" s="39">
        <f t="shared" si="386"/>
        <v>917</v>
      </c>
      <c r="AZ137" s="1141">
        <f t="shared" si="386"/>
        <v>917</v>
      </c>
      <c r="BA137" s="39">
        <f t="shared" si="386"/>
        <v>1021</v>
      </c>
      <c r="BB137" s="39">
        <f t="shared" si="386"/>
        <v>1112</v>
      </c>
      <c r="BC137" s="39">
        <f t="shared" si="386"/>
        <v>1223</v>
      </c>
      <c r="BD137" s="39">
        <f>BD544</f>
        <v>961</v>
      </c>
      <c r="BE137" s="1141">
        <f>BE544</f>
        <v>961</v>
      </c>
      <c r="BF137" s="39">
        <f>BF544</f>
        <v>1078</v>
      </c>
      <c r="BG137" s="39">
        <f>BG544</f>
        <v>1143</v>
      </c>
      <c r="BH137" s="876">
        <f>BH544</f>
        <v>1346</v>
      </c>
      <c r="BI137" s="363">
        <f>BH137+INDEX(MO_UPR_ChangeInCUP,0,COLUMN())</f>
        <v>1425.7306169999999</v>
      </c>
      <c r="BJ137" s="1134">
        <f>BI137</f>
        <v>1425.7306169999999</v>
      </c>
      <c r="BK137" s="363">
        <f>BJ137+INDEX(MO_UPR_ChangeInCUP,0,COLUMN())</f>
        <v>1499.24422</v>
      </c>
      <c r="BL137" s="363">
        <f>BK137+INDEX(MO_UPR_ChangeInCUP,0,COLUMN())</f>
        <v>1619.7187670000001</v>
      </c>
      <c r="BM137" s="363">
        <f>BL137+INDEX(MO_UPR_ChangeInCUP,0,COLUMN())</f>
        <v>1901.1058870000002</v>
      </c>
      <c r="BN137" s="363">
        <f>BM137+INDEX(MO_UPR_ChangeInCUP,0,COLUMN())</f>
        <v>2013.3017400000001</v>
      </c>
      <c r="BO137" s="1134">
        <f>BN137</f>
        <v>2013.3017400000001</v>
      </c>
      <c r="BP137" s="1134">
        <f>BO137+INDEX(MO_UPR_ChangeInCUP,0,COLUMN())</f>
        <v>2513.2049190000002</v>
      </c>
      <c r="BQ137" s="1134">
        <f>BP137+INDEX(MO_UPR_ChangeInCUP,0,COLUMN())</f>
        <v>2761.0417070000003</v>
      </c>
      <c r="BR137" s="1134">
        <f>BQ137+INDEX(MO_UPR_ChangeInCUP,0,COLUMN())</f>
        <v>3020.9406160000003</v>
      </c>
      <c r="BS137" s="32"/>
    </row>
    <row r="138" spans="1:71" s="674" customFormat="1" ht="15" hidden="1" outlineLevel="1">
      <c r="A138" s="37" t="s">
        <v>107</v>
      </c>
      <c r="B138" s="486"/>
      <c r="C138" s="1180">
        <f t="shared" si="387" ref="C138:AK138">ROUND(INDEX(MO_UPR_GUPR,0,COLUMN())-INDEX(MO_UPR_CUP,0,COLUMN()),6)</f>
        <v>1187</v>
      </c>
      <c r="D138" s="1180">
        <f t="shared" si="387"/>
        <v>1112</v>
      </c>
      <c r="E138" s="1180">
        <f t="shared" si="387"/>
        <v>1075</v>
      </c>
      <c r="F138" s="1180">
        <f t="shared" si="387"/>
        <v>1180</v>
      </c>
      <c r="G138" s="1180">
        <f t="shared" si="387"/>
        <v>1349</v>
      </c>
      <c r="H138" s="287">
        <f t="shared" si="387"/>
        <v>1350</v>
      </c>
      <c r="I138" s="287">
        <f t="shared" si="387"/>
        <v>1422</v>
      </c>
      <c r="J138" s="287">
        <f t="shared" si="387"/>
        <v>1527</v>
      </c>
      <c r="K138" s="287">
        <f t="shared" si="387"/>
        <v>1487</v>
      </c>
      <c r="L138" s="1180">
        <f t="shared" si="387"/>
        <v>1487</v>
      </c>
      <c r="M138" s="287">
        <f t="shared" si="387"/>
        <v>1461</v>
      </c>
      <c r="N138" s="287">
        <f t="shared" si="387"/>
        <v>1505</v>
      </c>
      <c r="O138" s="287">
        <f t="shared" si="387"/>
        <v>1634</v>
      </c>
      <c r="P138" s="287">
        <f t="shared" si="387"/>
        <v>1580</v>
      </c>
      <c r="Q138" s="1180">
        <f t="shared" si="387"/>
        <v>1580</v>
      </c>
      <c r="R138" s="287">
        <f t="shared" si="387"/>
        <v>1576</v>
      </c>
      <c r="S138" s="287">
        <f t="shared" si="387"/>
        <v>1588</v>
      </c>
      <c r="T138" s="287">
        <f t="shared" si="387"/>
        <v>1694</v>
      </c>
      <c r="U138" s="287">
        <f t="shared" si="387"/>
        <v>1632</v>
      </c>
      <c r="V138" s="1180">
        <f t="shared" si="387"/>
        <v>1632</v>
      </c>
      <c r="W138" s="287">
        <f t="shared" si="387"/>
        <v>1641</v>
      </c>
      <c r="X138" s="287">
        <f t="shared" si="387"/>
        <v>1707</v>
      </c>
      <c r="Y138" s="287">
        <f t="shared" si="387"/>
        <v>1876</v>
      </c>
      <c r="Z138" s="287">
        <f t="shared" si="387"/>
        <v>1810</v>
      </c>
      <c r="AA138" s="1180">
        <f t="shared" si="387"/>
        <v>1810</v>
      </c>
      <c r="AB138" s="287">
        <f t="shared" si="387"/>
        <v>1799</v>
      </c>
      <c r="AC138" s="287">
        <f t="shared" si="387"/>
        <v>1894</v>
      </c>
      <c r="AD138" s="287">
        <f t="shared" si="387"/>
        <v>2023</v>
      </c>
      <c r="AE138" s="287">
        <f t="shared" si="387"/>
        <v>1985</v>
      </c>
      <c r="AF138" s="1180">
        <f t="shared" si="387"/>
        <v>1985</v>
      </c>
      <c r="AG138" s="287">
        <f t="shared" si="387"/>
        <v>1969</v>
      </c>
      <c r="AH138" s="287">
        <f t="shared" si="387"/>
        <v>2032</v>
      </c>
      <c r="AI138" s="287">
        <f t="shared" si="387"/>
        <v>2205</v>
      </c>
      <c r="AJ138" s="287">
        <f t="shared" si="387"/>
        <v>2152</v>
      </c>
      <c r="AK138" s="1180">
        <f t="shared" si="387"/>
        <v>2152</v>
      </c>
      <c r="AL138" s="287">
        <f t="shared" si="388" ref="AL138:AQ138">ROUND(INDEX(MO_UPR_GUPR,0,COLUMN())-INDEX(MO_UPR_CUP,0,COLUMN()),6)</f>
        <v>2100</v>
      </c>
      <c r="AM138" s="287">
        <f t="shared" si="388"/>
        <v>2045</v>
      </c>
      <c r="AN138" s="287">
        <f t="shared" si="388"/>
        <v>2153</v>
      </c>
      <c r="AO138" s="287">
        <f t="shared" si="388"/>
        <v>2035</v>
      </c>
      <c r="AP138" s="1180">
        <f t="shared" si="388"/>
        <v>2035</v>
      </c>
      <c r="AQ138" s="287">
        <f t="shared" si="388"/>
        <v>2066</v>
      </c>
      <c r="AR138" s="287">
        <f t="shared" si="389" ref="AR138:AW138">ROUND(INDEX(MO_UPR_GUPR,0,COLUMN())-INDEX(MO_UPR_CUP,0,COLUMN()),6)</f>
        <v>2189</v>
      </c>
      <c r="AS138" s="287">
        <f t="shared" si="389"/>
        <v>2387</v>
      </c>
      <c r="AT138" s="287">
        <f t="shared" si="389"/>
        <v>2207</v>
      </c>
      <c r="AU138" s="1180">
        <f t="shared" si="389"/>
        <v>2207</v>
      </c>
      <c r="AV138" s="287">
        <f t="shared" si="389"/>
        <v>2273</v>
      </c>
      <c r="AW138" s="287">
        <f t="shared" si="389"/>
        <v>2391</v>
      </c>
      <c r="AX138" s="287">
        <f t="shared" si="390" ref="AX138:BJ138">ROUND(INDEX(MO_UPR_GUPR,0,COLUMN())-INDEX(MO_UPR_CUP,0,COLUMN()),6)</f>
        <v>2605</v>
      </c>
      <c r="AY138" s="287">
        <f t="shared" si="390"/>
        <v>2329</v>
      </c>
      <c r="AZ138" s="1180">
        <f t="shared" si="390"/>
        <v>2329</v>
      </c>
      <c r="BA138" s="287">
        <f t="shared" si="391" ref="BA138:BI138">ROUND(INDEX(MO_UPR_GUPR,0,COLUMN())-INDEX(MO_UPR_CUP,0,COLUMN()),6)</f>
        <v>2414</v>
      </c>
      <c r="BB138" s="287">
        <f t="shared" si="391"/>
        <v>2574</v>
      </c>
      <c r="BC138" s="287">
        <f t="shared" si="391"/>
        <v>2774</v>
      </c>
      <c r="BD138" s="287">
        <f t="shared" si="391"/>
        <v>2490</v>
      </c>
      <c r="BE138" s="1180">
        <f t="shared" si="391"/>
        <v>2490</v>
      </c>
      <c r="BF138" s="287">
        <f>ROUND(INDEX(MO_UPR_GUPR,0,COLUMN())-INDEX(MO_UPR_CUP,0,COLUMN()),6)</f>
        <v>2572</v>
      </c>
      <c r="BG138" s="287">
        <f>ROUND(INDEX(MO_UPR_GUPR,0,COLUMN())-INDEX(MO_UPR_CUP,0,COLUMN()),6)</f>
        <v>2673</v>
      </c>
      <c r="BH138" s="888">
        <f>ROUND(INDEX(MO_UPR_GUPR,0,COLUMN())-INDEX(MO_UPR_CUP,0,COLUMN()),6)</f>
        <v>2974</v>
      </c>
      <c r="BI138" s="159">
        <f t="shared" si="391"/>
        <v>3144.4484000000002</v>
      </c>
      <c r="BJ138" s="1148">
        <f t="shared" si="390"/>
        <v>3144.4484000000002</v>
      </c>
      <c r="BK138" s="159">
        <f t="shared" si="392" ref="BK138:BR138">ROUND(INDEX(MO_UPR_GUPR,0,COLUMN())-INDEX(MO_UPR_CUP,0,COLUMN()),6)</f>
        <v>3387.3861849999998</v>
      </c>
      <c r="BL138" s="159">
        <f t="shared" si="392"/>
        <v>3647.8207349999998</v>
      </c>
      <c r="BM138" s="159">
        <f t="shared" si="392"/>
        <v>3935.3967550000002</v>
      </c>
      <c r="BN138" s="159">
        <f t="shared" si="392"/>
        <v>4171.9416099999999</v>
      </c>
      <c r="BO138" s="1148">
        <f t="shared" si="392"/>
        <v>4171.9416099999999</v>
      </c>
      <c r="BP138" s="1147">
        <f t="shared" si="392"/>
        <v>5305.3886119999997</v>
      </c>
      <c r="BQ138" s="1147">
        <f t="shared" si="392"/>
        <v>6837.9662630000003</v>
      </c>
      <c r="BR138" s="1148">
        <f t="shared" si="392"/>
        <v>8432.5592930000003</v>
      </c>
      <c r="BS138" s="37"/>
    </row>
    <row r="139" spans="1:71" s="674" customFormat="1" ht="15" hidden="1" outlineLevel="1">
      <c r="A139" s="159"/>
      <c r="B139" s="486"/>
      <c r="C139" s="1147"/>
      <c r="D139" s="1147"/>
      <c r="E139" s="1147"/>
      <c r="F139" s="1147"/>
      <c r="G139" s="1147"/>
      <c r="H139" s="426"/>
      <c r="I139" s="426"/>
      <c r="J139" s="426"/>
      <c r="K139" s="426"/>
      <c r="L139" s="1147"/>
      <c r="M139" s="426"/>
      <c r="N139" s="426"/>
      <c r="O139" s="426"/>
      <c r="P139" s="426"/>
      <c r="Q139" s="1147"/>
      <c r="R139" s="426"/>
      <c r="S139" s="426"/>
      <c r="T139" s="426"/>
      <c r="U139" s="426"/>
      <c r="V139" s="1147"/>
      <c r="W139" s="426"/>
      <c r="X139" s="426"/>
      <c r="Y139" s="426"/>
      <c r="Z139" s="426"/>
      <c r="AA139" s="1147"/>
      <c r="AB139" s="426"/>
      <c r="AC139" s="426"/>
      <c r="AD139" s="426"/>
      <c r="AE139" s="426"/>
      <c r="AF139" s="1147"/>
      <c r="AG139" s="426"/>
      <c r="AH139" s="426"/>
      <c r="AI139" s="426"/>
      <c r="AJ139" s="426"/>
      <c r="AK139" s="1147"/>
      <c r="AL139" s="426"/>
      <c r="AM139" s="426"/>
      <c r="AN139" s="426"/>
      <c r="AO139" s="426"/>
      <c r="AP139" s="1147"/>
      <c r="AQ139" s="426"/>
      <c r="AR139" s="426"/>
      <c r="AS139" s="426"/>
      <c r="AT139" s="426"/>
      <c r="AU139" s="1147"/>
      <c r="AV139" s="426"/>
      <c r="AW139" s="426"/>
      <c r="AX139" s="426"/>
      <c r="AY139" s="426"/>
      <c r="AZ139" s="1147"/>
      <c r="BA139" s="426"/>
      <c r="BB139" s="426"/>
      <c r="BC139" s="426"/>
      <c r="BD139" s="426"/>
      <c r="BE139" s="1147"/>
      <c r="BF139" s="426"/>
      <c r="BG139" s="426"/>
      <c r="BH139" s="487"/>
      <c r="BI139" s="159"/>
      <c r="BJ139" s="1148"/>
      <c r="BK139" s="159"/>
      <c r="BL139" s="159"/>
      <c r="BM139" s="159"/>
      <c r="BN139" s="159"/>
      <c r="BO139" s="1148"/>
      <c r="BP139" s="1147"/>
      <c r="BQ139" s="1147"/>
      <c r="BR139" s="1148"/>
      <c r="BS139" s="37"/>
    </row>
    <row r="140" spans="1:71" s="673" customFormat="1" ht="15" hidden="1" outlineLevel="1">
      <c r="A140" s="114" t="s">
        <v>108</v>
      </c>
      <c r="B140" s="480"/>
      <c r="C140" s="1131"/>
      <c r="D140" s="1140">
        <f t="shared" si="393" ref="D140:K141">D136-C136</f>
        <v>-34</v>
      </c>
      <c r="E140" s="1140">
        <f t="shared" si="393"/>
        <v>-50</v>
      </c>
      <c r="F140" s="1140">
        <f t="shared" si="393"/>
        <v>167</v>
      </c>
      <c r="G140" s="1140">
        <f t="shared" si="393"/>
        <v>106</v>
      </c>
      <c r="H140" s="288">
        <f t="shared" si="393"/>
        <v>31</v>
      </c>
      <c r="I140" s="288">
        <f t="shared" si="393"/>
        <v>123</v>
      </c>
      <c r="J140" s="288">
        <f t="shared" si="393"/>
        <v>203</v>
      </c>
      <c r="K140" s="288">
        <f t="shared" si="393"/>
        <v>-158</v>
      </c>
      <c r="L140" s="1140">
        <f>SUM(H140,I140,J140,K140)</f>
        <v>199</v>
      </c>
      <c r="M140" s="288">
        <f t="shared" si="394" ref="M140:P141">M136-L136</f>
        <v>-20</v>
      </c>
      <c r="N140" s="288">
        <f t="shared" si="394"/>
        <v>68</v>
      </c>
      <c r="O140" s="288">
        <f t="shared" si="394"/>
        <v>234</v>
      </c>
      <c r="P140" s="288">
        <f t="shared" si="394"/>
        <v>-178</v>
      </c>
      <c r="Q140" s="1140">
        <f>SUM(M140,N140,O140,P140)</f>
        <v>104</v>
      </c>
      <c r="R140" s="288">
        <f t="shared" si="395" ref="R140:U141">R136-Q136</f>
        <v>-9</v>
      </c>
      <c r="S140" s="288">
        <f t="shared" si="395"/>
        <v>58</v>
      </c>
      <c r="T140" s="288">
        <f t="shared" si="395"/>
        <v>219</v>
      </c>
      <c r="U140" s="288">
        <f t="shared" si="395"/>
        <v>-157</v>
      </c>
      <c r="V140" s="1140">
        <f>SUM(R140,S140,T140,U140)</f>
        <v>111</v>
      </c>
      <c r="W140" s="288">
        <f t="shared" si="396" ref="W140:Z141">W136-V136</f>
        <v>3</v>
      </c>
      <c r="X140" s="288">
        <f t="shared" si="396"/>
        <v>120</v>
      </c>
      <c r="Y140" s="288">
        <f t="shared" si="396"/>
        <v>273</v>
      </c>
      <c r="Z140" s="288">
        <f t="shared" si="396"/>
        <v>-157</v>
      </c>
      <c r="AA140" s="1140">
        <f>SUM(W140,X140,Y140,Z140)</f>
        <v>239</v>
      </c>
      <c r="AB140" s="288">
        <f t="shared" si="397" ref="AB140:AE141">AB136-AA136</f>
        <v>3</v>
      </c>
      <c r="AC140" s="288">
        <f t="shared" si="397"/>
        <v>126</v>
      </c>
      <c r="AD140" s="288">
        <f t="shared" si="397"/>
        <v>201</v>
      </c>
      <c r="AE140" s="288">
        <f t="shared" si="397"/>
        <v>-145</v>
      </c>
      <c r="AF140" s="1140">
        <f>SUM(AB140,AC140,AD140,AE140)</f>
        <v>185</v>
      </c>
      <c r="AG140" s="288">
        <f t="shared" si="398" ref="AG140:AJ141">AG136-AF136</f>
        <v>10</v>
      </c>
      <c r="AH140" s="288">
        <f t="shared" si="398"/>
        <v>78</v>
      </c>
      <c r="AI140" s="288">
        <f t="shared" si="398"/>
        <v>303</v>
      </c>
      <c r="AJ140" s="288">
        <f t="shared" si="398"/>
        <v>-156</v>
      </c>
      <c r="AK140" s="1140">
        <f>SUM(AG140,AH140,AI140,AJ140)</f>
        <v>235</v>
      </c>
      <c r="AL140" s="288">
        <f t="shared" si="399" ref="AL140:AN141">AL136-AK136</f>
        <v>-22</v>
      </c>
      <c r="AM140" s="288">
        <f t="shared" si="399"/>
        <v>-30</v>
      </c>
      <c r="AN140" s="288">
        <f t="shared" si="399"/>
        <v>237</v>
      </c>
      <c r="AO140" s="288">
        <f>AO136-AN136</f>
        <v>-212</v>
      </c>
      <c r="AP140" s="1140">
        <f>SUM(AL140,AM140,AN140,AO140)</f>
        <v>-27</v>
      </c>
      <c r="AQ140" s="288">
        <f t="shared" si="400" ref="AQ140:AS141">AQ136-AP136</f>
        <v>18</v>
      </c>
      <c r="AR140" s="288">
        <f t="shared" si="400"/>
        <v>233</v>
      </c>
      <c r="AS140" s="288">
        <f t="shared" si="400"/>
        <v>361</v>
      </c>
      <c r="AT140" s="288">
        <f>AT136-AS136</f>
        <v>-374</v>
      </c>
      <c r="AU140" s="1140">
        <f>SUM(AQ140,AR140,AS140,AT140)</f>
        <v>238</v>
      </c>
      <c r="AV140" s="288">
        <f t="shared" si="401" ref="AV140:AX141">AV136-AU136</f>
        <v>165</v>
      </c>
      <c r="AW140" s="288">
        <f t="shared" si="401"/>
        <v>191</v>
      </c>
      <c r="AX140" s="288">
        <f t="shared" si="401"/>
        <v>388</v>
      </c>
      <c r="AY140" s="288">
        <f>AY136-AX136</f>
        <v>-539</v>
      </c>
      <c r="AZ140" s="1140">
        <f>SUM(AV140,AW140,AX140,AY140)</f>
        <v>205</v>
      </c>
      <c r="BA140" s="288">
        <f t="shared" si="402" ref="BA140:BC141">BA136-AZ136</f>
        <v>189</v>
      </c>
      <c r="BB140" s="288">
        <f t="shared" si="402"/>
        <v>251</v>
      </c>
      <c r="BC140" s="288">
        <f t="shared" si="402"/>
        <v>311</v>
      </c>
      <c r="BD140" s="288">
        <f>BD136-BC136</f>
        <v>-546</v>
      </c>
      <c r="BE140" s="1140">
        <f>SUM(BA140,BB140,BC140,BD140)</f>
        <v>205</v>
      </c>
      <c r="BF140" s="288">
        <f t="shared" si="403" ref="BF140:BH141">BF136-BE136</f>
        <v>199</v>
      </c>
      <c r="BG140" s="288">
        <f t="shared" si="403"/>
        <v>166</v>
      </c>
      <c r="BH140" s="875">
        <f t="shared" si="403"/>
        <v>504</v>
      </c>
      <c r="BI140" s="171">
        <f>ROUND(INDEX(MO_UI_GWP,0,COLUMN())-INDEX(MO_UI_GEP,0,COLUMN()),6)</f>
        <v>250.17901699999999</v>
      </c>
      <c r="BJ140" s="1133">
        <f>SUM(BF140,BG140,BH140,BI140)</f>
        <v>1119.1790169999999</v>
      </c>
      <c r="BK140" s="171">
        <f>ROUND(INDEX(MO_UI_GWP,0,COLUMN())-INDEX(MO_UI_GEP,0,COLUMN()),6)</f>
        <v>316.45138800000001</v>
      </c>
      <c r="BL140" s="171">
        <f>ROUND(INDEX(MO_UI_GWP,0,COLUMN())-INDEX(MO_UI_GEP,0,COLUMN()),6)</f>
        <v>380.90909699999997</v>
      </c>
      <c r="BM140" s="171">
        <f>ROUND(INDEX(MO_UI_GWP,0,COLUMN())-INDEX(MO_UI_GEP,0,COLUMN()),6)</f>
        <v>568.96313999999995</v>
      </c>
      <c r="BN140" s="171">
        <f>ROUND(INDEX(MO_UI_GWP,0,COLUMN())-INDEX(MO_UI_GEP,0,COLUMN()),6)</f>
        <v>348.74070799999998</v>
      </c>
      <c r="BO140" s="1133">
        <f>SUM(BK140,BL140,BM140,BN140)</f>
        <v>1615.064333</v>
      </c>
      <c r="BP140" s="1131">
        <f>ROUND(INDEX(MO_UI_GWP,0,COLUMN())-INDEX(MO_UI_GEP,0,COLUMN()),6)</f>
        <v>1633.350181</v>
      </c>
      <c r="BQ140" s="1131">
        <f>ROUND(INDEX(MO_UI_GWP,0,COLUMN())-INDEX(MO_UI_GEP,0,COLUMN()),6)</f>
        <v>1780.4144389999999</v>
      </c>
      <c r="BR140" s="1133">
        <f>ROUND(INDEX(MO_UI_GWP,0,COLUMN())-INDEX(MO_UI_GEP,0,COLUMN()),6)</f>
        <v>1854.491939</v>
      </c>
      <c r="BS140" s="32"/>
    </row>
    <row r="141" spans="1:71" s="673" customFormat="1" ht="15" hidden="1" outlineLevel="1">
      <c r="A141" s="115" t="s">
        <v>109</v>
      </c>
      <c r="B141" s="481"/>
      <c r="C141" s="1134"/>
      <c r="D141" s="1141">
        <f t="shared" si="393"/>
        <v>41</v>
      </c>
      <c r="E141" s="1141">
        <f t="shared" si="393"/>
        <v>-13</v>
      </c>
      <c r="F141" s="1141">
        <f t="shared" si="393"/>
        <v>62</v>
      </c>
      <c r="G141" s="1141">
        <f t="shared" si="393"/>
        <v>-63</v>
      </c>
      <c r="H141" s="39">
        <f t="shared" si="393"/>
        <v>30</v>
      </c>
      <c r="I141" s="39">
        <f t="shared" si="393"/>
        <v>51</v>
      </c>
      <c r="J141" s="39">
        <f t="shared" si="393"/>
        <v>98</v>
      </c>
      <c r="K141" s="39">
        <f t="shared" si="393"/>
        <v>-118</v>
      </c>
      <c r="L141" s="1141">
        <f>SUM(H141,I141,J141,K141)</f>
        <v>61</v>
      </c>
      <c r="M141" s="39">
        <f t="shared" si="394"/>
        <v>6</v>
      </c>
      <c r="N141" s="39">
        <f t="shared" si="394"/>
        <v>24</v>
      </c>
      <c r="O141" s="39">
        <f t="shared" si="394"/>
        <v>105</v>
      </c>
      <c r="P141" s="39">
        <f t="shared" si="394"/>
        <v>-124</v>
      </c>
      <c r="Q141" s="1141">
        <f>SUM(M141,N141,O141,P141)</f>
        <v>11</v>
      </c>
      <c r="R141" s="39">
        <f t="shared" si="395"/>
        <v>-5</v>
      </c>
      <c r="S141" s="39">
        <f t="shared" si="395"/>
        <v>46</v>
      </c>
      <c r="T141" s="39">
        <f t="shared" si="395"/>
        <v>113</v>
      </c>
      <c r="U141" s="39">
        <f t="shared" si="395"/>
        <v>-95</v>
      </c>
      <c r="V141" s="1141">
        <f>SUM(R141,S141,T141,U141)</f>
        <v>59</v>
      </c>
      <c r="W141" s="39">
        <f t="shared" si="396"/>
        <v>-6</v>
      </c>
      <c r="X141" s="39">
        <f t="shared" si="396"/>
        <v>54</v>
      </c>
      <c r="Y141" s="39">
        <f t="shared" si="396"/>
        <v>104</v>
      </c>
      <c r="Z141" s="39">
        <f t="shared" si="396"/>
        <v>-91</v>
      </c>
      <c r="AA141" s="1141">
        <f>SUM(W141,X141,Y141,Z141)</f>
        <v>61</v>
      </c>
      <c r="AB141" s="39">
        <f t="shared" si="397"/>
        <v>14</v>
      </c>
      <c r="AC141" s="39">
        <f t="shared" si="397"/>
        <v>31</v>
      </c>
      <c r="AD141" s="39">
        <f t="shared" si="397"/>
        <v>72</v>
      </c>
      <c r="AE141" s="39">
        <f t="shared" si="397"/>
        <v>-107</v>
      </c>
      <c r="AF141" s="1141">
        <f>SUM(AB141,AC141,AD141,AE141)</f>
        <v>10</v>
      </c>
      <c r="AG141" s="39">
        <f t="shared" si="398"/>
        <v>26</v>
      </c>
      <c r="AH141" s="39">
        <f t="shared" si="398"/>
        <v>15</v>
      </c>
      <c r="AI141" s="39">
        <f t="shared" si="398"/>
        <v>130</v>
      </c>
      <c r="AJ141" s="39">
        <f t="shared" si="398"/>
        <v>-103</v>
      </c>
      <c r="AK141" s="1141">
        <f>SUM(AG141,AH141,AI141,AJ141)</f>
        <v>68</v>
      </c>
      <c r="AL141" s="39">
        <f t="shared" si="399"/>
        <v>30</v>
      </c>
      <c r="AM141" s="39">
        <f t="shared" si="399"/>
        <v>25</v>
      </c>
      <c r="AN141" s="39">
        <f t="shared" si="399"/>
        <v>129</v>
      </c>
      <c r="AO141" s="39">
        <f>AO137-AN137</f>
        <v>-94</v>
      </c>
      <c r="AP141" s="1141">
        <f>SUM(AL141,AM141,AN141,AO141)</f>
        <v>90</v>
      </c>
      <c r="AQ141" s="39">
        <f t="shared" si="400"/>
        <v>-13</v>
      </c>
      <c r="AR141" s="39">
        <f t="shared" si="400"/>
        <v>110</v>
      </c>
      <c r="AS141" s="39">
        <f t="shared" si="400"/>
        <v>163</v>
      </c>
      <c r="AT141" s="39">
        <f>AT137-AS137</f>
        <v>-194</v>
      </c>
      <c r="AU141" s="1141">
        <f>SUM(AQ141,AR141,AS141,AT141)</f>
        <v>66</v>
      </c>
      <c r="AV141" s="39">
        <f t="shared" si="401"/>
        <v>99</v>
      </c>
      <c r="AW141" s="39">
        <f t="shared" si="401"/>
        <v>73</v>
      </c>
      <c r="AX141" s="39">
        <f t="shared" si="401"/>
        <v>174</v>
      </c>
      <c r="AY141" s="39">
        <f>AY137-AX137</f>
        <v>-263</v>
      </c>
      <c r="AZ141" s="1141">
        <f>SUM(AV141,AW141,AX141,AY141)</f>
        <v>83</v>
      </c>
      <c r="BA141" s="39">
        <f t="shared" si="402"/>
        <v>104</v>
      </c>
      <c r="BB141" s="39">
        <f t="shared" si="402"/>
        <v>91</v>
      </c>
      <c r="BC141" s="39">
        <f t="shared" si="402"/>
        <v>111</v>
      </c>
      <c r="BD141" s="39">
        <f>BD137-BC137</f>
        <v>-262</v>
      </c>
      <c r="BE141" s="1141">
        <f>SUM(BA141,BB141,BC141,BD141)</f>
        <v>44</v>
      </c>
      <c r="BF141" s="39">
        <f t="shared" si="403"/>
        <v>117</v>
      </c>
      <c r="BG141" s="39">
        <f t="shared" si="403"/>
        <v>65</v>
      </c>
      <c r="BH141" s="876">
        <f t="shared" si="403"/>
        <v>203</v>
      </c>
      <c r="BI141" s="363">
        <f>(ROUND(INDEX(MO_UI_CWP,0,COLUMN())-INDEX(MO_UI_CEP,0,COLUMN()),6))</f>
        <v>79.730616999999995</v>
      </c>
      <c r="BJ141" s="1134">
        <f>SUM(BF141,BG141,BH141,BI141)</f>
        <v>464.730617</v>
      </c>
      <c r="BK141" s="363">
        <f>(ROUND(INDEX(MO_UI_CWP,0,COLUMN())-INDEX(MO_UI_CEP,0,COLUMN()),6))</f>
        <v>73.513603000000003</v>
      </c>
      <c r="BL141" s="363">
        <f>(ROUND(INDEX(MO_UI_CWP,0,COLUMN())-INDEX(MO_UI_CEP,0,COLUMN()),6))</f>
        <v>120.474547</v>
      </c>
      <c r="BM141" s="363">
        <f>(ROUND(INDEX(MO_UI_CWP,0,COLUMN())-INDEX(MO_UI_CEP,0,COLUMN()),6))</f>
        <v>281.38711999999998</v>
      </c>
      <c r="BN141" s="363">
        <f>(ROUND(INDEX(MO_UI_CWP,0,COLUMN())-INDEX(MO_UI_CEP,0,COLUMN()),6))</f>
        <v>112.195853</v>
      </c>
      <c r="BO141" s="1134">
        <f>SUM(BK141,BL141,BM141,BN141)</f>
        <v>587.57112299999994</v>
      </c>
      <c r="BP141" s="1134">
        <f>(ROUND(INDEX(MO_UI_CWP,0,COLUMN())-INDEX(MO_UI_CEP,0,COLUMN()),6))</f>
        <v>499.90317900000002</v>
      </c>
      <c r="BQ141" s="1134">
        <f>(ROUND(INDEX(MO_UI_CWP,0,COLUMN())-INDEX(MO_UI_CEP,0,COLUMN()),6))</f>
        <v>247.83678800000001</v>
      </c>
      <c r="BR141" s="1134">
        <f>(ROUND(INDEX(MO_UI_CWP,0,COLUMN())-INDEX(MO_UI_CEP,0,COLUMN()),6))</f>
        <v>259.898909</v>
      </c>
      <c r="BS141" s="32"/>
    </row>
    <row r="142" spans="1:71" s="674" customFormat="1" ht="15" hidden="1" outlineLevel="1">
      <c r="A142" s="37" t="s">
        <v>110</v>
      </c>
      <c r="B142" s="486"/>
      <c r="C142" s="1147"/>
      <c r="D142" s="1180">
        <f t="shared" si="404" ref="D142:AK142">ROUND(INDEX(MO_UPR_ChangeInGUPR,0,COLUMN())-INDEX(MO_UPR_ChangeInCUP,0,COLUMN()),6)</f>
        <v>-75</v>
      </c>
      <c r="E142" s="1180">
        <f t="shared" si="404"/>
        <v>-37</v>
      </c>
      <c r="F142" s="1180">
        <f t="shared" si="404"/>
        <v>105</v>
      </c>
      <c r="G142" s="1180">
        <f t="shared" si="404"/>
        <v>169</v>
      </c>
      <c r="H142" s="287">
        <f t="shared" si="404"/>
        <v>1</v>
      </c>
      <c r="I142" s="287">
        <f t="shared" si="404"/>
        <v>72</v>
      </c>
      <c r="J142" s="287">
        <f t="shared" si="404"/>
        <v>105</v>
      </c>
      <c r="K142" s="287">
        <f t="shared" si="404"/>
        <v>-40</v>
      </c>
      <c r="L142" s="1180">
        <f t="shared" si="404"/>
        <v>138</v>
      </c>
      <c r="M142" s="287">
        <f t="shared" si="404"/>
        <v>-26</v>
      </c>
      <c r="N142" s="287">
        <f t="shared" si="404"/>
        <v>44</v>
      </c>
      <c r="O142" s="287">
        <f t="shared" si="404"/>
        <v>129</v>
      </c>
      <c r="P142" s="287">
        <f t="shared" si="404"/>
        <v>-54</v>
      </c>
      <c r="Q142" s="1180">
        <f t="shared" si="404"/>
        <v>93</v>
      </c>
      <c r="R142" s="287">
        <f t="shared" si="404"/>
        <v>-4</v>
      </c>
      <c r="S142" s="287">
        <f t="shared" si="404"/>
        <v>12</v>
      </c>
      <c r="T142" s="287">
        <f t="shared" si="404"/>
        <v>106</v>
      </c>
      <c r="U142" s="287">
        <f t="shared" si="404"/>
        <v>-62</v>
      </c>
      <c r="V142" s="1180">
        <f t="shared" si="404"/>
        <v>52</v>
      </c>
      <c r="W142" s="287">
        <f t="shared" si="404"/>
        <v>9</v>
      </c>
      <c r="X142" s="287">
        <f t="shared" si="404"/>
        <v>66</v>
      </c>
      <c r="Y142" s="287">
        <f t="shared" si="404"/>
        <v>169</v>
      </c>
      <c r="Z142" s="287">
        <f t="shared" si="404"/>
        <v>-66</v>
      </c>
      <c r="AA142" s="1180">
        <f t="shared" si="404"/>
        <v>178</v>
      </c>
      <c r="AB142" s="287">
        <f t="shared" si="404"/>
        <v>-11</v>
      </c>
      <c r="AC142" s="287">
        <f t="shared" si="404"/>
        <v>95</v>
      </c>
      <c r="AD142" s="287">
        <f t="shared" si="404"/>
        <v>129</v>
      </c>
      <c r="AE142" s="287">
        <f t="shared" si="404"/>
        <v>-38</v>
      </c>
      <c r="AF142" s="1180">
        <f t="shared" si="404"/>
        <v>175</v>
      </c>
      <c r="AG142" s="287">
        <f t="shared" si="404"/>
        <v>-16</v>
      </c>
      <c r="AH142" s="287">
        <f t="shared" si="404"/>
        <v>63</v>
      </c>
      <c r="AI142" s="287">
        <f t="shared" si="404"/>
        <v>173</v>
      </c>
      <c r="AJ142" s="287">
        <f t="shared" si="404"/>
        <v>-53</v>
      </c>
      <c r="AK142" s="1180">
        <f t="shared" si="404"/>
        <v>167</v>
      </c>
      <c r="AL142" s="287">
        <f t="shared" si="405" ref="AL142:AQ142">ROUND(INDEX(MO_UPR_ChangeInGUPR,0,COLUMN())-INDEX(MO_UPR_ChangeInCUP,0,COLUMN()),6)</f>
        <v>-52</v>
      </c>
      <c r="AM142" s="287">
        <f t="shared" si="405"/>
        <v>-55</v>
      </c>
      <c r="AN142" s="287">
        <f t="shared" si="405"/>
        <v>108</v>
      </c>
      <c r="AO142" s="287">
        <f t="shared" si="405"/>
        <v>-118</v>
      </c>
      <c r="AP142" s="1180">
        <f t="shared" si="405"/>
        <v>-117</v>
      </c>
      <c r="AQ142" s="287">
        <f t="shared" si="405"/>
        <v>31</v>
      </c>
      <c r="AR142" s="287">
        <f t="shared" si="406" ref="AR142:AW142">ROUND(INDEX(MO_UPR_ChangeInGUPR,0,COLUMN())-INDEX(MO_UPR_ChangeInCUP,0,COLUMN()),6)</f>
        <v>123</v>
      </c>
      <c r="AS142" s="287">
        <f t="shared" si="406"/>
        <v>198</v>
      </c>
      <c r="AT142" s="287">
        <f t="shared" si="406"/>
        <v>-180</v>
      </c>
      <c r="AU142" s="1180">
        <f t="shared" si="406"/>
        <v>172</v>
      </c>
      <c r="AV142" s="287">
        <f t="shared" si="406"/>
        <v>66</v>
      </c>
      <c r="AW142" s="287">
        <f t="shared" si="406"/>
        <v>118</v>
      </c>
      <c r="AX142" s="287">
        <f t="shared" si="407" ref="AX142:BJ142">ROUND(INDEX(MO_UPR_ChangeInGUPR,0,COLUMN())-INDEX(MO_UPR_ChangeInCUP,0,COLUMN()),6)</f>
        <v>214</v>
      </c>
      <c r="AY142" s="287">
        <f t="shared" si="407"/>
        <v>-276</v>
      </c>
      <c r="AZ142" s="1180">
        <f t="shared" si="407"/>
        <v>122</v>
      </c>
      <c r="BA142" s="287">
        <f t="shared" si="408" ref="BA142:BI142">ROUND(INDEX(MO_UPR_ChangeInGUPR,0,COLUMN())-INDEX(MO_UPR_ChangeInCUP,0,COLUMN()),6)</f>
        <v>85</v>
      </c>
      <c r="BB142" s="287">
        <f t="shared" si="408"/>
        <v>160</v>
      </c>
      <c r="BC142" s="287">
        <f t="shared" si="408"/>
        <v>200</v>
      </c>
      <c r="BD142" s="287">
        <f t="shared" si="408"/>
        <v>-284</v>
      </c>
      <c r="BE142" s="1180">
        <f t="shared" si="408"/>
        <v>161</v>
      </c>
      <c r="BF142" s="287">
        <f>ROUND(INDEX(MO_UPR_ChangeInGUPR,0,COLUMN())-INDEX(MO_UPR_ChangeInCUP,0,COLUMN()),6)</f>
        <v>82</v>
      </c>
      <c r="BG142" s="287">
        <f>ROUND(INDEX(MO_UPR_ChangeInGUPR,0,COLUMN())-INDEX(MO_UPR_ChangeInCUP,0,COLUMN()),6)</f>
        <v>101</v>
      </c>
      <c r="BH142" s="888">
        <f>ROUND(INDEX(MO_UPR_ChangeInGUPR,0,COLUMN())-INDEX(MO_UPR_ChangeInCUP,0,COLUMN()),6)</f>
        <v>301</v>
      </c>
      <c r="BI142" s="159">
        <f t="shared" si="408"/>
        <v>170.44839999999999</v>
      </c>
      <c r="BJ142" s="1148">
        <f t="shared" si="407"/>
        <v>654.44839999999999</v>
      </c>
      <c r="BK142" s="159">
        <f t="shared" si="409" ref="BK142:BR142">ROUND(INDEX(MO_UPR_ChangeInGUPR,0,COLUMN())-INDEX(MO_UPR_ChangeInCUP,0,COLUMN()),6)</f>
        <v>242.93778499999999</v>
      </c>
      <c r="BL142" s="159">
        <f t="shared" si="409"/>
        <v>260.43455</v>
      </c>
      <c r="BM142" s="159">
        <f t="shared" si="409"/>
        <v>287.57602000000003</v>
      </c>
      <c r="BN142" s="159">
        <f t="shared" si="409"/>
        <v>236.54485500000001</v>
      </c>
      <c r="BO142" s="1148">
        <f t="shared" si="409"/>
        <v>1027.4932100000001</v>
      </c>
      <c r="BP142" s="1147">
        <f t="shared" si="409"/>
        <v>1133.4470020000001</v>
      </c>
      <c r="BQ142" s="1147">
        <f t="shared" si="409"/>
        <v>1532.5776510000001</v>
      </c>
      <c r="BR142" s="1148">
        <f t="shared" si="409"/>
        <v>1594.59303</v>
      </c>
      <c r="BS142" s="37"/>
    </row>
    <row r="143" spans="1:71" s="667" customFormat="1" ht="15" collapsed="1">
      <c r="A143" s="499"/>
      <c r="B143" s="492"/>
      <c r="C143" s="1161"/>
      <c r="D143" s="1161"/>
      <c r="E143" s="1161"/>
      <c r="F143" s="1161"/>
      <c r="G143" s="1161"/>
      <c r="H143" s="971"/>
      <c r="I143" s="971"/>
      <c r="J143" s="971"/>
      <c r="K143" s="971"/>
      <c r="L143" s="1161"/>
      <c r="M143" s="971"/>
      <c r="N143" s="971"/>
      <c r="O143" s="971"/>
      <c r="P143" s="971"/>
      <c r="Q143" s="1161"/>
      <c r="R143" s="971"/>
      <c r="S143" s="971"/>
      <c r="T143" s="971"/>
      <c r="U143" s="971"/>
      <c r="V143" s="1161"/>
      <c r="W143" s="971"/>
      <c r="X143" s="971"/>
      <c r="Y143" s="971"/>
      <c r="Z143" s="971"/>
      <c r="AA143" s="1161"/>
      <c r="AB143" s="971"/>
      <c r="AC143" s="971"/>
      <c r="AD143" s="971"/>
      <c r="AE143" s="971"/>
      <c r="AF143" s="1161"/>
      <c r="AG143" s="971"/>
      <c r="AH143" s="971"/>
      <c r="AI143" s="971"/>
      <c r="AJ143" s="971"/>
      <c r="AK143" s="1161"/>
      <c r="AL143" s="971"/>
      <c r="AM143" s="971"/>
      <c r="AN143" s="971"/>
      <c r="AO143" s="971"/>
      <c r="AP143" s="1161"/>
      <c r="AQ143" s="971"/>
      <c r="AR143" s="971"/>
      <c r="AS143" s="971"/>
      <c r="AT143" s="971"/>
      <c r="AU143" s="1161"/>
      <c r="AV143" s="971"/>
      <c r="AW143" s="971"/>
      <c r="AX143" s="971"/>
      <c r="AY143" s="971"/>
      <c r="AZ143" s="1161"/>
      <c r="BA143" s="971"/>
      <c r="BB143" s="971"/>
      <c r="BC143" s="971"/>
      <c r="BD143" s="971"/>
      <c r="BE143" s="1161"/>
      <c r="BF143" s="971"/>
      <c r="BG143" s="971"/>
      <c r="BH143" s="972"/>
      <c r="BI143" s="973"/>
      <c r="BJ143" s="1162"/>
      <c r="BK143" s="973"/>
      <c r="BL143" s="973"/>
      <c r="BM143" s="973"/>
      <c r="BN143" s="973"/>
      <c r="BO143" s="1162"/>
      <c r="BP143" s="1161"/>
      <c r="BQ143" s="1161"/>
      <c r="BR143" s="1162"/>
      <c r="BS143" s="664"/>
    </row>
    <row r="144" spans="1:71" s="672" customFormat="1" ht="15">
      <c r="A144" s="951" t="s">
        <v>111</v>
      </c>
      <c r="B144" s="951"/>
      <c r="C144" s="967"/>
      <c r="D144" s="967"/>
      <c r="E144" s="967"/>
      <c r="F144" s="967"/>
      <c r="G144" s="967"/>
      <c r="H144" s="967"/>
      <c r="I144" s="967"/>
      <c r="J144" s="967"/>
      <c r="K144" s="967"/>
      <c r="L144" s="967"/>
      <c r="M144" s="967"/>
      <c r="N144" s="967"/>
      <c r="O144" s="967"/>
      <c r="P144" s="967"/>
      <c r="Q144" s="967"/>
      <c r="R144" s="967"/>
      <c r="S144" s="967"/>
      <c r="T144" s="967"/>
      <c r="U144" s="967"/>
      <c r="V144" s="967"/>
      <c r="W144" s="967"/>
      <c r="X144" s="967"/>
      <c r="Y144" s="967"/>
      <c r="Z144" s="967"/>
      <c r="AA144" s="967"/>
      <c r="AB144" s="967"/>
      <c r="AC144" s="967"/>
      <c r="AD144" s="967"/>
      <c r="AE144" s="967"/>
      <c r="AF144" s="967"/>
      <c r="AG144" s="967"/>
      <c r="AH144" s="967"/>
      <c r="AI144" s="967"/>
      <c r="AJ144" s="967"/>
      <c r="AK144" s="967"/>
      <c r="AL144" s="967"/>
      <c r="AM144" s="967"/>
      <c r="AN144" s="967"/>
      <c r="AO144" s="967"/>
      <c r="AP144" s="967"/>
      <c r="AQ144" s="967"/>
      <c r="AR144" s="967"/>
      <c r="AS144" s="967"/>
      <c r="AT144" s="967"/>
      <c r="AU144" s="967"/>
      <c r="AV144" s="967"/>
      <c r="AW144" s="967"/>
      <c r="AX144" s="967"/>
      <c r="AY144" s="967"/>
      <c r="AZ144" s="967"/>
      <c r="BA144" s="967"/>
      <c r="BB144" s="967"/>
      <c r="BC144" s="967"/>
      <c r="BD144" s="967"/>
      <c r="BE144" s="967"/>
      <c r="BF144" s="967"/>
      <c r="BG144" s="967"/>
      <c r="BH144" s="968"/>
      <c r="BI144" s="969"/>
      <c r="BJ144" s="969"/>
      <c r="BK144" s="969"/>
      <c r="BL144" s="969"/>
      <c r="BM144" s="969"/>
      <c r="BN144" s="969"/>
      <c r="BO144" s="969"/>
      <c r="BP144" s="967"/>
      <c r="BQ144" s="967"/>
      <c r="BR144" s="969"/>
      <c r="BS144" s="456"/>
    </row>
    <row r="145" spans="1:71" s="673" customFormat="1" ht="15" hidden="1" outlineLevel="1">
      <c r="A145" s="114" t="s">
        <v>112</v>
      </c>
      <c r="B145" s="480"/>
      <c r="C145" s="1140">
        <f t="shared" si="410" ref="C145:AK145">C556</f>
        <v>6412</v>
      </c>
      <c r="D145" s="1140">
        <f t="shared" si="410"/>
        <v>6413</v>
      </c>
      <c r="E145" s="1140">
        <f t="shared" si="410"/>
        <v>6520</v>
      </c>
      <c r="F145" s="1140">
        <f t="shared" si="410"/>
        <v>6845</v>
      </c>
      <c r="G145" s="1140">
        <f t="shared" si="410"/>
        <v>6410</v>
      </c>
      <c r="H145" s="288">
        <f t="shared" si="410"/>
        <v>6134</v>
      </c>
      <c r="I145" s="288">
        <f t="shared" si="410"/>
        <v>7370</v>
      </c>
      <c r="J145" s="288">
        <f t="shared" si="410"/>
        <v>7645</v>
      </c>
      <c r="K145" s="288">
        <f t="shared" si="410"/>
        <v>7872</v>
      </c>
      <c r="L145" s="1140">
        <f t="shared" si="410"/>
        <v>7872</v>
      </c>
      <c r="M145" s="288">
        <f t="shared" si="410"/>
        <v>7636</v>
      </c>
      <c r="N145" s="288">
        <f t="shared" si="410"/>
        <v>7744</v>
      </c>
      <c r="O145" s="288">
        <f t="shared" si="410"/>
        <v>8061</v>
      </c>
      <c r="P145" s="288">
        <f t="shared" si="410"/>
        <v>8127</v>
      </c>
      <c r="Q145" s="1140">
        <f t="shared" si="410"/>
        <v>8127</v>
      </c>
      <c r="R145" s="288">
        <f t="shared" si="410"/>
        <v>8108</v>
      </c>
      <c r="S145" s="288">
        <f t="shared" si="410"/>
        <v>8203</v>
      </c>
      <c r="T145" s="288">
        <f t="shared" si="410"/>
        <v>8661</v>
      </c>
      <c r="U145" s="288">
        <f t="shared" si="410"/>
        <v>8563</v>
      </c>
      <c r="V145" s="1140">
        <f t="shared" si="410"/>
        <v>8563</v>
      </c>
      <c r="W145" s="288">
        <f t="shared" si="410"/>
        <v>8621</v>
      </c>
      <c r="X145" s="288">
        <f t="shared" si="410"/>
        <v>8730</v>
      </c>
      <c r="Y145" s="288">
        <f t="shared" si="410"/>
        <v>9563</v>
      </c>
      <c r="Z145" s="288">
        <f t="shared" si="410"/>
        <v>9678</v>
      </c>
      <c r="AA145" s="1140">
        <f t="shared" si="410"/>
        <v>9678</v>
      </c>
      <c r="AB145" s="288">
        <f t="shared" si="410"/>
        <v>9193</v>
      </c>
      <c r="AC145" s="288">
        <f t="shared" si="410"/>
        <v>9093</v>
      </c>
      <c r="AD145" s="288">
        <f t="shared" si="410"/>
        <v>9670</v>
      </c>
      <c r="AE145" s="288">
        <f t="shared" si="410"/>
        <v>9741</v>
      </c>
      <c r="AF145" s="1140">
        <f t="shared" si="410"/>
        <v>9741</v>
      </c>
      <c r="AG145" s="288">
        <f t="shared" si="410"/>
        <v>9623</v>
      </c>
      <c r="AH145" s="288">
        <f t="shared" si="410"/>
        <v>9577</v>
      </c>
      <c r="AI145" s="288">
        <f t="shared" si="410"/>
        <v>9847</v>
      </c>
      <c r="AJ145" s="288">
        <f t="shared" si="410"/>
        <v>10232</v>
      </c>
      <c r="AK145" s="1140">
        <f t="shared" si="410"/>
        <v>10232</v>
      </c>
      <c r="AL145" s="288">
        <f t="shared" si="411" ref="AL145:AQ145">AL556</f>
        <v>10106</v>
      </c>
      <c r="AM145" s="288">
        <f t="shared" si="411"/>
        <v>10321</v>
      </c>
      <c r="AN145" s="288">
        <f t="shared" si="411"/>
        <v>10754</v>
      </c>
      <c r="AO145" s="288">
        <f t="shared" si="411"/>
        <v>10392</v>
      </c>
      <c r="AP145" s="1140">
        <f t="shared" si="411"/>
        <v>10392</v>
      </c>
      <c r="AQ145" s="288">
        <f t="shared" si="411"/>
        <v>10384</v>
      </c>
      <c r="AR145" s="288">
        <f t="shared" si="412" ref="AR145:AW145">AR556</f>
        <v>10498</v>
      </c>
      <c r="AS145" s="288">
        <f t="shared" si="412"/>
        <v>10991</v>
      </c>
      <c r="AT145" s="288">
        <f t="shared" si="412"/>
        <v>11074</v>
      </c>
      <c r="AU145" s="1140">
        <f t="shared" si="412"/>
        <v>11074</v>
      </c>
      <c r="AV145" s="288">
        <f t="shared" si="412"/>
        <v>10986</v>
      </c>
      <c r="AW145" s="288">
        <f t="shared" si="412"/>
        <v>11201</v>
      </c>
      <c r="AX145" s="288">
        <f t="shared" si="413" ref="AX145:BC145">AX556</f>
        <v>12067</v>
      </c>
      <c r="AY145" s="288">
        <f t="shared" si="413"/>
        <v>11974</v>
      </c>
      <c r="AZ145" s="1140">
        <f t="shared" si="413"/>
        <v>11974</v>
      </c>
      <c r="BA145" s="288">
        <f t="shared" si="413"/>
        <v>11761</v>
      </c>
      <c r="BB145" s="288">
        <f t="shared" si="413"/>
        <v>11925</v>
      </c>
      <c r="BC145" s="288">
        <f t="shared" si="413"/>
        <v>12891</v>
      </c>
      <c r="BD145" s="288">
        <f>BD556</f>
        <v>13087</v>
      </c>
      <c r="BE145" s="1140">
        <f>BE556</f>
        <v>13087</v>
      </c>
      <c r="BF145" s="288">
        <f>BF556</f>
        <v>13050</v>
      </c>
      <c r="BG145" s="288">
        <f>BG556</f>
        <v>12607</v>
      </c>
      <c r="BH145" s="875">
        <f>BH556</f>
        <v>14206</v>
      </c>
      <c r="BI145" s="171">
        <f>ROUND(INDEX(MO_LR_RR,0,COLUMN())+INDEX(MO_LR_NLR,0,COLUMN()),6)</f>
        <v>14319.684507</v>
      </c>
      <c r="BJ145" s="1133">
        <f>BI145</f>
        <v>14319.684507</v>
      </c>
      <c r="BK145" s="171">
        <f>ROUND(INDEX(MO_LR_RR,0,COLUMN())+INDEX(MO_LR_NLR,0,COLUMN()),6)</f>
        <v>14424.343661999999</v>
      </c>
      <c r="BL145" s="171">
        <f>ROUND(INDEX(MO_LR_RR,0,COLUMN())+INDEX(MO_LR_NLR,0,COLUMN()),6)</f>
        <v>14544.057510000001</v>
      </c>
      <c r="BM145" s="171">
        <f>ROUND(INDEX(MO_LR_RR,0,COLUMN())+INDEX(MO_LR_NLR,0,COLUMN()),6)</f>
        <v>14693.234928</v>
      </c>
      <c r="BN145" s="171">
        <f>ROUND(INDEX(MO_LR_RR,0,COLUMN())+INDEX(MO_LR_NLR,0,COLUMN()),6)</f>
        <v>14803.720742</v>
      </c>
      <c r="BO145" s="1133">
        <f>BN145</f>
        <v>14803.720742</v>
      </c>
      <c r="BP145" s="1131">
        <f>ROUND(INDEX(MO_LR_RR,0,COLUMN())+INDEX(MO_LR_NLR,0,COLUMN()),6)</f>
        <v>15356.192145000001</v>
      </c>
      <c r="BQ145" s="1131">
        <f>ROUND(INDEX(MO_LR_RR,0,COLUMN())+INDEX(MO_LR_NLR,0,COLUMN()),6)</f>
        <v>15984.443491</v>
      </c>
      <c r="BR145" s="1133">
        <f>ROUND(INDEX(MO_LR_RR,0,COLUMN())+INDEX(MO_LR_NLR,0,COLUMN()),6)</f>
        <v>16645.859308999999</v>
      </c>
      <c r="BS145" s="32"/>
    </row>
    <row r="146" spans="1:71" s="673" customFormat="1" ht="15" hidden="1" outlineLevel="1">
      <c r="A146" s="115" t="s">
        <v>113</v>
      </c>
      <c r="B146" s="481"/>
      <c r="C146" s="1141">
        <f t="shared" si="414" ref="C146:AK146">C543</f>
        <v>3279</v>
      </c>
      <c r="D146" s="1141">
        <f t="shared" si="414"/>
        <v>2964</v>
      </c>
      <c r="E146" s="1141">
        <f t="shared" si="414"/>
        <v>2942</v>
      </c>
      <c r="F146" s="1141">
        <f t="shared" si="414"/>
        <v>3750</v>
      </c>
      <c r="G146" s="1141">
        <f t="shared" si="414"/>
        <v>3157</v>
      </c>
      <c r="H146" s="39">
        <f t="shared" si="414"/>
        <v>2969</v>
      </c>
      <c r="I146" s="39">
        <f t="shared" si="414"/>
        <v>3107</v>
      </c>
      <c r="J146" s="39">
        <f t="shared" si="414"/>
        <v>3134</v>
      </c>
      <c r="K146" s="39">
        <f t="shared" si="414"/>
        <v>3238</v>
      </c>
      <c r="L146" s="1141">
        <f t="shared" si="414"/>
        <v>3238</v>
      </c>
      <c r="M146" s="39">
        <f t="shared" si="414"/>
        <v>3046</v>
      </c>
      <c r="N146" s="39">
        <f t="shared" si="414"/>
        <v>3075</v>
      </c>
      <c r="O146" s="39">
        <f t="shared" si="414"/>
        <v>3151</v>
      </c>
      <c r="P146" s="39">
        <f t="shared" si="414"/>
        <v>2636</v>
      </c>
      <c r="Q146" s="1141">
        <f t="shared" si="414"/>
        <v>2636</v>
      </c>
      <c r="R146" s="39">
        <f t="shared" si="414"/>
        <v>2561</v>
      </c>
      <c r="S146" s="39">
        <f t="shared" si="414"/>
        <v>2576</v>
      </c>
      <c r="T146" s="39">
        <f t="shared" si="414"/>
        <v>2814</v>
      </c>
      <c r="U146" s="39">
        <f t="shared" si="414"/>
        <v>2737</v>
      </c>
      <c r="V146" s="1141">
        <f t="shared" si="414"/>
        <v>2737</v>
      </c>
      <c r="W146" s="39">
        <f t="shared" si="414"/>
        <v>2735</v>
      </c>
      <c r="X146" s="39">
        <f t="shared" si="414"/>
        <v>2839</v>
      </c>
      <c r="Y146" s="39">
        <f t="shared" si="414"/>
        <v>3262</v>
      </c>
      <c r="Z146" s="39">
        <f t="shared" si="414"/>
        <v>3369</v>
      </c>
      <c r="AA146" s="1141">
        <f t="shared" si="414"/>
        <v>3369</v>
      </c>
      <c r="AB146" s="39">
        <f t="shared" si="414"/>
        <v>3173</v>
      </c>
      <c r="AC146" s="39">
        <f t="shared" si="414"/>
        <v>3073</v>
      </c>
      <c r="AD146" s="39">
        <f t="shared" si="414"/>
        <v>3352</v>
      </c>
      <c r="AE146" s="39">
        <f t="shared" si="414"/>
        <v>3349</v>
      </c>
      <c r="AF146" s="1141">
        <f t="shared" si="414"/>
        <v>3349</v>
      </c>
      <c r="AG146" s="39">
        <f t="shared" si="414"/>
        <v>3258</v>
      </c>
      <c r="AH146" s="39">
        <f t="shared" si="414"/>
        <v>3150</v>
      </c>
      <c r="AI146" s="39">
        <f t="shared" si="414"/>
        <v>3261</v>
      </c>
      <c r="AJ146" s="39">
        <f t="shared" si="414"/>
        <v>3415</v>
      </c>
      <c r="AK146" s="1141">
        <f t="shared" si="414"/>
        <v>3415</v>
      </c>
      <c r="AL146" s="39">
        <f t="shared" si="415" ref="AL146:AQ146">AL543</f>
        <v>3387</v>
      </c>
      <c r="AM146" s="39">
        <f t="shared" si="415"/>
        <v>3476</v>
      </c>
      <c r="AN146" s="39">
        <f t="shared" si="415"/>
        <v>3819</v>
      </c>
      <c r="AO146" s="39">
        <f t="shared" si="415"/>
        <v>10092</v>
      </c>
      <c r="AP146" s="1141">
        <f t="shared" si="415"/>
        <v>10092</v>
      </c>
      <c r="AQ146" s="39">
        <f t="shared" si="415"/>
        <v>3231</v>
      </c>
      <c r="AR146" s="39">
        <f t="shared" si="416" ref="AR146:AW146">AR543</f>
        <v>3330</v>
      </c>
      <c r="AS146" s="39">
        <f t="shared" si="416"/>
        <v>3523</v>
      </c>
      <c r="AT146" s="39">
        <f t="shared" si="416"/>
        <v>3519</v>
      </c>
      <c r="AU146" s="1141">
        <f t="shared" si="416"/>
        <v>3519</v>
      </c>
      <c r="AV146" s="39">
        <f t="shared" si="416"/>
        <v>3478</v>
      </c>
      <c r="AW146" s="39">
        <f t="shared" si="416"/>
        <v>3567</v>
      </c>
      <c r="AX146" s="39">
        <f t="shared" si="417" ref="AX146:BC146">AX543</f>
        <v>4108</v>
      </c>
      <c r="AY146" s="39">
        <f t="shared" si="417"/>
        <v>3977</v>
      </c>
      <c r="AZ146" s="1141">
        <f t="shared" si="417"/>
        <v>3977</v>
      </c>
      <c r="BA146" s="39">
        <f t="shared" si="417"/>
        <v>3838</v>
      </c>
      <c r="BB146" s="39">
        <f t="shared" si="417"/>
        <v>3852</v>
      </c>
      <c r="BC146" s="39">
        <f t="shared" si="417"/>
        <v>4421</v>
      </c>
      <c r="BD146" s="39">
        <f>BD543</f>
        <v>4477</v>
      </c>
      <c r="BE146" s="1141">
        <f>BE543</f>
        <v>4477</v>
      </c>
      <c r="BF146" s="39">
        <f>BF543</f>
        <v>4510</v>
      </c>
      <c r="BG146" s="39">
        <f>BG543</f>
        <v>4157</v>
      </c>
      <c r="BH146" s="876">
        <f>BH543</f>
        <v>5217</v>
      </c>
      <c r="BI146" s="363">
        <f>BH146+(INDEX(MO_LR_ChangeInNLR,0,COLUMN())*(1-INDEX(MO_UR_NRR,0,COLUMN())))</f>
        <v>5244.4743887155382</v>
      </c>
      <c r="BJ146" s="1134">
        <f>BI146</f>
        <v>5244.4743887155382</v>
      </c>
      <c r="BK146" s="363">
        <f>BJ146+(INDEX(MO_LR_ChangeInNLR,0,COLUMN())*(1-INDEX(MO_UR_NRR,0,COLUMN())))</f>
        <v>5264.2038186222135</v>
      </c>
      <c r="BL146" s="363">
        <f>BK146+(INDEX(MO_LR_ChangeInNLR,0,COLUMN())*(1-INDEX(MO_UR_NRR,0,COLUMN())))</f>
        <v>5292.9689787141651</v>
      </c>
      <c r="BM146" s="363">
        <f>BL146+(INDEX(MO_LR_ChangeInNLR,0,COLUMN())*(1-INDEX(MO_UR_NRR,0,COLUMN())))</f>
        <v>5342.3328608918609</v>
      </c>
      <c r="BN146" s="363">
        <f>BM146+(INDEX(MO_LR_ChangeInNLR,0,COLUMN())*(1-INDEX(MO_UR_NRR,0,COLUMN())))</f>
        <v>5369.2258446024807</v>
      </c>
      <c r="BO146" s="1134">
        <f>BN146</f>
        <v>5369.2258446024807</v>
      </c>
      <c r="BP146" s="1134">
        <f>BO146+(INDEX(MO_LR_ChangeInNLR,0,COLUMN())*(1-INDEX(MO_UR_NRR,0,COLUMN())))</f>
        <v>5498.6914285714402</v>
      </c>
      <c r="BQ146" s="1134">
        <f>BP146+(INDEX(MO_LR_ChangeInNLR,0,COLUMN())*(1-INDEX(MO_UR_NRR,0,COLUMN())))</f>
        <v>5575.4585799996348</v>
      </c>
      <c r="BR146" s="1134">
        <f>BQ146+(INDEX(MO_LR_ChangeInNLR,0,COLUMN())*(1-INDEX(MO_UR_NRR,0,COLUMN())))</f>
        <v>5656.758361748819</v>
      </c>
      <c r="BS146" s="32"/>
    </row>
    <row r="147" spans="1:71" s="674" customFormat="1" ht="15" hidden="1" outlineLevel="1">
      <c r="A147" s="37" t="s">
        <v>114</v>
      </c>
      <c r="B147" s="486"/>
      <c r="C147" s="1180">
        <f t="shared" si="418" ref="C147:AK147">ROUND(INDEX(MO_LR_GLR,0,COLUMN())-INDEX(MO_LR_RR,0,COLUMN()),6)</f>
        <v>3133</v>
      </c>
      <c r="D147" s="1180">
        <f t="shared" si="418"/>
        <v>3449</v>
      </c>
      <c r="E147" s="1180">
        <f t="shared" si="418"/>
        <v>3578</v>
      </c>
      <c r="F147" s="1180">
        <f t="shared" si="418"/>
        <v>3095</v>
      </c>
      <c r="G147" s="1180">
        <f t="shared" si="418"/>
        <v>3253</v>
      </c>
      <c r="H147" s="287">
        <f t="shared" si="418"/>
        <v>3165</v>
      </c>
      <c r="I147" s="287">
        <f t="shared" si="418"/>
        <v>4263</v>
      </c>
      <c r="J147" s="287">
        <f t="shared" si="418"/>
        <v>4511</v>
      </c>
      <c r="K147" s="287">
        <f t="shared" si="418"/>
        <v>4634</v>
      </c>
      <c r="L147" s="1180">
        <f t="shared" si="418"/>
        <v>4634</v>
      </c>
      <c r="M147" s="287">
        <f t="shared" si="418"/>
        <v>4590</v>
      </c>
      <c r="N147" s="287">
        <f t="shared" si="418"/>
        <v>4669</v>
      </c>
      <c r="O147" s="287">
        <f t="shared" si="418"/>
        <v>4910</v>
      </c>
      <c r="P147" s="287">
        <f t="shared" si="418"/>
        <v>5491</v>
      </c>
      <c r="Q147" s="1180">
        <f t="shared" si="418"/>
        <v>5491</v>
      </c>
      <c r="R147" s="287">
        <f t="shared" si="418"/>
        <v>5547</v>
      </c>
      <c r="S147" s="287">
        <f t="shared" si="418"/>
        <v>5627</v>
      </c>
      <c r="T147" s="287">
        <f t="shared" si="418"/>
        <v>5847</v>
      </c>
      <c r="U147" s="287">
        <f t="shared" si="418"/>
        <v>5826</v>
      </c>
      <c r="V147" s="1180">
        <f t="shared" si="418"/>
        <v>5826</v>
      </c>
      <c r="W147" s="287">
        <f t="shared" si="418"/>
        <v>5886</v>
      </c>
      <c r="X147" s="287">
        <f t="shared" si="418"/>
        <v>5891</v>
      </c>
      <c r="Y147" s="287">
        <f t="shared" si="418"/>
        <v>6301</v>
      </c>
      <c r="Z147" s="287">
        <f t="shared" si="418"/>
        <v>6309</v>
      </c>
      <c r="AA147" s="1180">
        <f t="shared" si="418"/>
        <v>6309</v>
      </c>
      <c r="AB147" s="287">
        <f t="shared" si="418"/>
        <v>6020</v>
      </c>
      <c r="AC147" s="287">
        <f t="shared" si="418"/>
        <v>6020</v>
      </c>
      <c r="AD147" s="287">
        <f t="shared" si="418"/>
        <v>6318</v>
      </c>
      <c r="AE147" s="287">
        <f t="shared" si="418"/>
        <v>6392</v>
      </c>
      <c r="AF147" s="1180">
        <f t="shared" si="418"/>
        <v>6392</v>
      </c>
      <c r="AG147" s="287">
        <f t="shared" si="418"/>
        <v>6365</v>
      </c>
      <c r="AH147" s="287">
        <f t="shared" si="418"/>
        <v>6427</v>
      </c>
      <c r="AI147" s="287">
        <f t="shared" si="418"/>
        <v>6586</v>
      </c>
      <c r="AJ147" s="287">
        <f t="shared" si="418"/>
        <v>6817</v>
      </c>
      <c r="AK147" s="1180">
        <f t="shared" si="418"/>
        <v>6817</v>
      </c>
      <c r="AL147" s="287">
        <f t="shared" si="419" ref="AL147:AQ147">ROUND(INDEX(MO_LR_GLR,0,COLUMN())-INDEX(MO_LR_RR,0,COLUMN()),6)</f>
        <v>6719</v>
      </c>
      <c r="AM147" s="287">
        <f t="shared" si="419"/>
        <v>6845</v>
      </c>
      <c r="AN147" s="287">
        <f t="shared" si="419"/>
        <v>6935</v>
      </c>
      <c r="AO147" s="287">
        <f t="shared" si="419"/>
        <v>300</v>
      </c>
      <c r="AP147" s="1180">
        <f t="shared" si="419"/>
        <v>300</v>
      </c>
      <c r="AQ147" s="287">
        <f t="shared" si="419"/>
        <v>7153</v>
      </c>
      <c r="AR147" s="287">
        <f t="shared" si="420" ref="AR147:AW147">ROUND(INDEX(MO_LR_GLR,0,COLUMN())-INDEX(MO_LR_RR,0,COLUMN()),6)</f>
        <v>7168</v>
      </c>
      <c r="AS147" s="287">
        <f t="shared" si="420"/>
        <v>7468</v>
      </c>
      <c r="AT147" s="287">
        <f t="shared" si="420"/>
        <v>7555</v>
      </c>
      <c r="AU147" s="1180">
        <f t="shared" si="420"/>
        <v>7555</v>
      </c>
      <c r="AV147" s="287">
        <f t="shared" si="420"/>
        <v>7508</v>
      </c>
      <c r="AW147" s="287">
        <f t="shared" si="420"/>
        <v>7634</v>
      </c>
      <c r="AX147" s="287">
        <f t="shared" si="421" ref="AX147:BC147">ROUND(INDEX(MO_LR_GLR,0,COLUMN())-INDEX(MO_LR_RR,0,COLUMN()),6)</f>
        <v>7959</v>
      </c>
      <c r="AY147" s="287">
        <f t="shared" si="421"/>
        <v>7997</v>
      </c>
      <c r="AZ147" s="1180">
        <f t="shared" si="421"/>
        <v>7997</v>
      </c>
      <c r="BA147" s="287">
        <f t="shared" si="421"/>
        <v>7923</v>
      </c>
      <c r="BB147" s="287">
        <f t="shared" si="421"/>
        <v>8073</v>
      </c>
      <c r="BC147" s="287">
        <f t="shared" si="421"/>
        <v>8470</v>
      </c>
      <c r="BD147" s="287">
        <f>ROUND(INDEX(MO_LR_GLR,0,COLUMN())-INDEX(MO_LR_RR,0,COLUMN()),6)</f>
        <v>8610</v>
      </c>
      <c r="BE147" s="1180">
        <f>ROUND(INDEX(MO_LR_GLR,0,COLUMN())-INDEX(MO_LR_RR,0,COLUMN()),6)</f>
        <v>8610</v>
      </c>
      <c r="BF147" s="287">
        <f>ROUND(INDEX(MO_LR_GLR,0,COLUMN())-INDEX(MO_LR_RR,0,COLUMN()),6)</f>
        <v>8540</v>
      </c>
      <c r="BG147" s="287">
        <f>ROUND(INDEX(MO_LR_GLR,0,COLUMN())-INDEX(MO_LR_RR,0,COLUMN()),6)</f>
        <v>8450</v>
      </c>
      <c r="BH147" s="888">
        <f>ROUND(INDEX(MO_LR_GLR,0,COLUMN())-INDEX(MO_LR_RR,0,COLUMN()),6)</f>
        <v>8989</v>
      </c>
      <c r="BI147" s="159">
        <f>BH147+INDEX(MO_LR_ChangeInNLR,0,COLUMN())</f>
        <v>9075.2101180000009</v>
      </c>
      <c r="BJ147" s="1148">
        <f>ROUND(INDEX(MO_LR_GLR,0,COLUMN())-INDEX(MO_LR_RR,0,COLUMN()),6)</f>
        <v>9075.2101180000009</v>
      </c>
      <c r="BK147" s="159">
        <f>BJ147+INDEX(MO_LR_ChangeInNLR,0,COLUMN())</f>
        <v>9160.1398430000008</v>
      </c>
      <c r="BL147" s="159">
        <f>BK147+INDEX(MO_LR_ChangeInNLR,0,COLUMN())</f>
        <v>9251.0885310000012</v>
      </c>
      <c r="BM147" s="159">
        <f>BL147+INDEX(MO_LR_ChangeInNLR,0,COLUMN())</f>
        <v>9350.9020670000009</v>
      </c>
      <c r="BN147" s="159">
        <f>BM147+INDEX(MO_LR_ChangeInNLR,0,COLUMN())</f>
        <v>9434.4948970000005</v>
      </c>
      <c r="BO147" s="1148">
        <f>ROUND(INDEX(MO_LR_GLR,0,COLUMN())-INDEX(MO_LR_RR,0,COLUMN()),6)</f>
        <v>9434.4948970000005</v>
      </c>
      <c r="BP147" s="1147">
        <f>BO147+INDEX(MO_LR_ChangeInNLR,0,COLUMN())</f>
        <v>9857.5007160000005</v>
      </c>
      <c r="BQ147" s="1147">
        <f>BP147+INDEX(MO_LR_ChangeInNLR,0,COLUMN())</f>
        <v>10408.984911</v>
      </c>
      <c r="BR147" s="1148">
        <f>BQ147+INDEX(MO_LR_ChangeInNLR,0,COLUMN())</f>
        <v>10989.100946999999</v>
      </c>
      <c r="BS147" s="37"/>
    </row>
    <row r="148" spans="1:71" s="674" customFormat="1" ht="15" hidden="1" outlineLevel="1">
      <c r="A148" s="159"/>
      <c r="B148" s="486"/>
      <c r="C148" s="1147"/>
      <c r="D148" s="1147"/>
      <c r="E148" s="1147"/>
      <c r="F148" s="1147"/>
      <c r="G148" s="1147"/>
      <c r="H148" s="426"/>
      <c r="I148" s="426"/>
      <c r="J148" s="426"/>
      <c r="K148" s="426"/>
      <c r="L148" s="1147"/>
      <c r="M148" s="426"/>
      <c r="N148" s="426"/>
      <c r="O148" s="426"/>
      <c r="P148" s="426"/>
      <c r="Q148" s="1147"/>
      <c r="R148" s="426"/>
      <c r="S148" s="426"/>
      <c r="T148" s="426"/>
      <c r="U148" s="426"/>
      <c r="V148" s="1147"/>
      <c r="W148" s="426"/>
      <c r="X148" s="426"/>
      <c r="Y148" s="426"/>
      <c r="Z148" s="426"/>
      <c r="AA148" s="1147"/>
      <c r="AB148" s="426"/>
      <c r="AC148" s="426"/>
      <c r="AD148" s="426"/>
      <c r="AE148" s="426"/>
      <c r="AF148" s="1147"/>
      <c r="AG148" s="426"/>
      <c r="AH148" s="426"/>
      <c r="AI148" s="426"/>
      <c r="AJ148" s="426"/>
      <c r="AK148" s="1147"/>
      <c r="AL148" s="426"/>
      <c r="AM148" s="426"/>
      <c r="AN148" s="426"/>
      <c r="AO148" s="426"/>
      <c r="AP148" s="1147"/>
      <c r="AQ148" s="426"/>
      <c r="AR148" s="426"/>
      <c r="AS148" s="426"/>
      <c r="AT148" s="426"/>
      <c r="AU148" s="1147"/>
      <c r="AV148" s="426"/>
      <c r="AW148" s="426"/>
      <c r="AX148" s="426"/>
      <c r="AY148" s="426"/>
      <c r="AZ148" s="1147"/>
      <c r="BA148" s="426"/>
      <c r="BB148" s="426"/>
      <c r="BC148" s="426"/>
      <c r="BD148" s="426"/>
      <c r="BE148" s="1147"/>
      <c r="BF148" s="426"/>
      <c r="BG148" s="426"/>
      <c r="BH148" s="487"/>
      <c r="BI148" s="159"/>
      <c r="BJ148" s="1148"/>
      <c r="BK148" s="159"/>
      <c r="BL148" s="159"/>
      <c r="BM148" s="159"/>
      <c r="BN148" s="159"/>
      <c r="BO148" s="1148"/>
      <c r="BP148" s="1147"/>
      <c r="BQ148" s="1147"/>
      <c r="BR148" s="1148"/>
      <c r="BS148" s="37"/>
    </row>
    <row r="149" spans="1:71" s="673" customFormat="1" ht="15" hidden="1" outlineLevel="1">
      <c r="A149" s="114" t="s">
        <v>115</v>
      </c>
      <c r="B149" s="480"/>
      <c r="C149" s="1131"/>
      <c r="D149" s="1140">
        <f t="shared" si="422" ref="D149:AK149">INDEX(MO_UI_Loss,0,COLUMN())</f>
        <v>1457</v>
      </c>
      <c r="E149" s="1140">
        <f t="shared" si="422"/>
        <v>1744</v>
      </c>
      <c r="F149" s="1140">
        <f t="shared" si="422"/>
        <v>1873</v>
      </c>
      <c r="G149" s="1140">
        <f t="shared" si="422"/>
        <v>2040</v>
      </c>
      <c r="H149" s="288">
        <f t="shared" si="422"/>
        <v>429</v>
      </c>
      <c r="I149" s="288">
        <f t="shared" si="422"/>
        <v>602</v>
      </c>
      <c r="J149" s="288">
        <f t="shared" si="422"/>
        <v>784</v>
      </c>
      <c r="K149" s="288">
        <f t="shared" si="422"/>
        <v>679</v>
      </c>
      <c r="L149" s="1140">
        <f t="shared" si="422"/>
        <v>2494</v>
      </c>
      <c r="M149" s="288">
        <f t="shared" si="422"/>
        <v>576</v>
      </c>
      <c r="N149" s="288">
        <f t="shared" si="422"/>
        <v>601</v>
      </c>
      <c r="O149" s="288">
        <f t="shared" si="422"/>
        <v>825</v>
      </c>
      <c r="P149" s="288">
        <f t="shared" si="422"/>
        <v>693</v>
      </c>
      <c r="Q149" s="1140">
        <f t="shared" si="422"/>
        <v>2695</v>
      </c>
      <c r="R149" s="288">
        <f t="shared" si="422"/>
        <v>581</v>
      </c>
      <c r="S149" s="288">
        <f t="shared" si="422"/>
        <v>687</v>
      </c>
      <c r="T149" s="288">
        <f t="shared" si="422"/>
        <v>765</v>
      </c>
      <c r="U149" s="288">
        <f t="shared" si="422"/>
        <v>729</v>
      </c>
      <c r="V149" s="1140">
        <f t="shared" si="422"/>
        <v>2762</v>
      </c>
      <c r="W149" s="288">
        <f t="shared" si="422"/>
        <v>609</v>
      </c>
      <c r="X149" s="288">
        <f t="shared" si="422"/>
        <v>635</v>
      </c>
      <c r="Y149" s="288">
        <f t="shared" si="422"/>
        <v>995</v>
      </c>
      <c r="Z149" s="288">
        <f t="shared" si="422"/>
        <v>716</v>
      </c>
      <c r="AA149" s="1140">
        <f t="shared" si="422"/>
        <v>2955</v>
      </c>
      <c r="AB149" s="288">
        <f t="shared" si="422"/>
        <v>641</v>
      </c>
      <c r="AC149" s="288">
        <f t="shared" si="422"/>
        <v>693</v>
      </c>
      <c r="AD149" s="288">
        <f t="shared" si="422"/>
        <v>872</v>
      </c>
      <c r="AE149" s="288">
        <f t="shared" si="422"/>
        <v>797</v>
      </c>
      <c r="AF149" s="1140">
        <f t="shared" si="422"/>
        <v>3003</v>
      </c>
      <c r="AG149" s="288">
        <f t="shared" si="422"/>
        <v>692</v>
      </c>
      <c r="AH149" s="288">
        <f t="shared" si="422"/>
        <v>723</v>
      </c>
      <c r="AI149" s="288">
        <f t="shared" si="422"/>
        <v>944</v>
      </c>
      <c r="AJ149" s="288">
        <f t="shared" si="422"/>
        <v>912</v>
      </c>
      <c r="AK149" s="1140">
        <f t="shared" si="422"/>
        <v>3271</v>
      </c>
      <c r="AL149" s="288">
        <f t="shared" si="423" ref="AL149:AU149">INDEX(MO_UI_Loss,0,COLUMN())</f>
        <v>707</v>
      </c>
      <c r="AM149" s="288">
        <f t="shared" si="423"/>
        <v>771</v>
      </c>
      <c r="AN149" s="288">
        <f t="shared" si="423"/>
        <v>963</v>
      </c>
      <c r="AO149" s="288">
        <f t="shared" si="423"/>
        <v>830</v>
      </c>
      <c r="AP149" s="1140">
        <f t="shared" si="423"/>
        <v>3271</v>
      </c>
      <c r="AQ149" s="288">
        <f t="shared" si="423"/>
        <v>667</v>
      </c>
      <c r="AR149" s="288">
        <f t="shared" si="423"/>
        <v>713</v>
      </c>
      <c r="AS149" s="288">
        <f t="shared" si="423"/>
        <v>953</v>
      </c>
      <c r="AT149" s="288">
        <f t="shared" si="423"/>
        <v>820</v>
      </c>
      <c r="AU149" s="1140">
        <f t="shared" si="423"/>
        <v>3153</v>
      </c>
      <c r="AV149" s="288">
        <f t="shared" si="424" ref="AV149:AZ149">INDEX(MO_UI_Loss,0,COLUMN())</f>
        <v>692</v>
      </c>
      <c r="AW149" s="288">
        <f t="shared" si="424"/>
        <v>773</v>
      </c>
      <c r="AX149" s="288">
        <f t="shared" si="424"/>
        <v>1173</v>
      </c>
      <c r="AY149" s="288">
        <f t="shared" si="424"/>
        <v>987</v>
      </c>
      <c r="AZ149" s="1140">
        <f t="shared" si="424"/>
        <v>3625</v>
      </c>
      <c r="BA149" s="288">
        <f t="shared" si="425" ref="BA149:BI149">INDEX(MO_UI_Loss,0,COLUMN())</f>
        <v>819</v>
      </c>
      <c r="BB149" s="288">
        <f t="shared" si="425"/>
        <v>906</v>
      </c>
      <c r="BC149" s="288">
        <f t="shared" si="425"/>
        <v>1238</v>
      </c>
      <c r="BD149" s="288">
        <f t="shared" si="425"/>
        <v>1052</v>
      </c>
      <c r="BE149" s="1140">
        <f t="shared" si="425"/>
        <v>4015</v>
      </c>
      <c r="BF149" s="288">
        <f>INDEX(MO_UI_Loss,0,COLUMN())</f>
        <v>906</v>
      </c>
      <c r="BG149" s="288">
        <f>INDEX(MO_UI_Loss,0,COLUMN())</f>
        <v>936</v>
      </c>
      <c r="BH149" s="875">
        <f>INDEX(MO_UI_Loss,0,COLUMN())</f>
        <v>1428</v>
      </c>
      <c r="BI149" s="171">
        <f t="shared" si="425"/>
        <v>862.10117799999978</v>
      </c>
      <c r="BJ149" s="1133">
        <f>SUM(BF149,BG149,BH149,BI149)</f>
        <v>4132.1011779999999</v>
      </c>
      <c r="BK149" s="171">
        <f>INDEX(MO_UI_Loss,0,COLUMN())</f>
        <v>849.29725325000015</v>
      </c>
      <c r="BL149" s="171">
        <f>INDEX(MO_UI_Loss,0,COLUMN())</f>
        <v>909.48687800000016</v>
      </c>
      <c r="BM149" s="171">
        <f>INDEX(MO_UI_Loss,0,COLUMN())</f>
        <v>998.13535470000011</v>
      </c>
      <c r="BN149" s="171">
        <f>INDEX(MO_UI_Loss,0,COLUMN())</f>
        <v>835.92829483999981</v>
      </c>
      <c r="BO149" s="1133">
        <f>SUM(BK149,BL149,BM149,BN149)</f>
        <v>3592.8477807899999</v>
      </c>
      <c r="BP149" s="1131">
        <f>INDEX(MO_UI_Loss,0,COLUMN())</f>
        <v>4230.05818818015</v>
      </c>
      <c r="BQ149" s="1131">
        <f>INDEX(MO_UI_Loss,0,COLUMN())</f>
        <v>5514.8419490297583</v>
      </c>
      <c r="BR149" s="1133">
        <f>INDEX(MO_UI_Loss,0,COLUMN())</f>
        <v>5801.1603585041757</v>
      </c>
      <c r="BS149" s="32"/>
    </row>
    <row r="150" spans="1:71" s="673" customFormat="1" ht="15" hidden="1" outlineLevel="1">
      <c r="A150" s="115" t="s">
        <v>116</v>
      </c>
      <c r="B150" s="481"/>
      <c r="C150" s="1134"/>
      <c r="D150" s="1141">
        <f t="shared" si="426" ref="D150:AK150">ROUND(INDEX(MO_LR_LossIncurred,0,COLUMN())-INDEX(MO_LR_ChangeInNLR,0,COLUMN()),6)</f>
        <v>1141</v>
      </c>
      <c r="E150" s="1141">
        <f t="shared" si="426"/>
        <v>1615</v>
      </c>
      <c r="F150" s="1141">
        <f t="shared" si="426"/>
        <v>2356</v>
      </c>
      <c r="G150" s="1141">
        <f t="shared" si="426"/>
        <v>1882</v>
      </c>
      <c r="H150" s="39">
        <f t="shared" si="426"/>
        <v>517</v>
      </c>
      <c r="I150" s="39">
        <f t="shared" si="426"/>
        <v>-496</v>
      </c>
      <c r="J150" s="39">
        <f t="shared" si="426"/>
        <v>536</v>
      </c>
      <c r="K150" s="39">
        <f t="shared" si="426"/>
        <v>556</v>
      </c>
      <c r="L150" s="1141">
        <f t="shared" si="426"/>
        <v>1113</v>
      </c>
      <c r="M150" s="39">
        <f t="shared" si="426"/>
        <v>620</v>
      </c>
      <c r="N150" s="39">
        <f t="shared" si="426"/>
        <v>522</v>
      </c>
      <c r="O150" s="39">
        <f t="shared" si="426"/>
        <v>584</v>
      </c>
      <c r="P150" s="39">
        <f t="shared" si="426"/>
        <v>112</v>
      </c>
      <c r="Q150" s="1141">
        <f t="shared" si="426"/>
        <v>1838</v>
      </c>
      <c r="R150" s="39">
        <f t="shared" si="426"/>
        <v>525</v>
      </c>
      <c r="S150" s="39">
        <f t="shared" si="426"/>
        <v>607</v>
      </c>
      <c r="T150" s="39">
        <f t="shared" si="426"/>
        <v>545</v>
      </c>
      <c r="U150" s="39">
        <f t="shared" si="426"/>
        <v>750</v>
      </c>
      <c r="V150" s="1141">
        <f t="shared" si="426"/>
        <v>2427</v>
      </c>
      <c r="W150" s="39">
        <f t="shared" si="426"/>
        <v>549</v>
      </c>
      <c r="X150" s="39">
        <f t="shared" si="426"/>
        <v>630</v>
      </c>
      <c r="Y150" s="39">
        <f t="shared" si="426"/>
        <v>585</v>
      </c>
      <c r="Z150" s="39">
        <f t="shared" si="426"/>
        <v>708</v>
      </c>
      <c r="AA150" s="1141">
        <f t="shared" si="426"/>
        <v>2472</v>
      </c>
      <c r="AB150" s="39">
        <f t="shared" si="426"/>
        <v>930</v>
      </c>
      <c r="AC150" s="39">
        <f t="shared" si="426"/>
        <v>693</v>
      </c>
      <c r="AD150" s="39">
        <f t="shared" si="426"/>
        <v>574</v>
      </c>
      <c r="AE150" s="39">
        <f t="shared" si="426"/>
        <v>723</v>
      </c>
      <c r="AF150" s="1141">
        <f t="shared" si="426"/>
        <v>2920</v>
      </c>
      <c r="AG150" s="39">
        <f t="shared" si="426"/>
        <v>719</v>
      </c>
      <c r="AH150" s="39">
        <f t="shared" si="426"/>
        <v>661</v>
      </c>
      <c r="AI150" s="39">
        <f t="shared" si="426"/>
        <v>785</v>
      </c>
      <c r="AJ150" s="39">
        <f t="shared" si="426"/>
        <v>681</v>
      </c>
      <c r="AK150" s="1141">
        <f t="shared" si="426"/>
        <v>2846</v>
      </c>
      <c r="AL150" s="39">
        <f t="shared" si="427" ref="AL150:AQ150">ROUND(INDEX(MO_LR_LossIncurred,0,COLUMN())-INDEX(MO_LR_ChangeInNLR,0,COLUMN()),6)</f>
        <v>805</v>
      </c>
      <c r="AM150" s="39">
        <f t="shared" si="427"/>
        <v>645</v>
      </c>
      <c r="AN150" s="39">
        <f t="shared" si="427"/>
        <v>873</v>
      </c>
      <c r="AO150" s="39">
        <f t="shared" si="427"/>
        <v>7465</v>
      </c>
      <c r="AP150" s="1141">
        <f t="shared" si="427"/>
        <v>9788</v>
      </c>
      <c r="AQ150" s="39">
        <f t="shared" si="427"/>
        <v>-6186</v>
      </c>
      <c r="AR150" s="39">
        <f t="shared" si="428" ref="AR150:AW150">ROUND(INDEX(MO_LR_LossIncurred,0,COLUMN())-INDEX(MO_LR_ChangeInNLR,0,COLUMN()),6)</f>
        <v>698</v>
      </c>
      <c r="AS150" s="39">
        <f t="shared" si="428"/>
        <v>653</v>
      </c>
      <c r="AT150" s="39">
        <f t="shared" si="428"/>
        <v>733</v>
      </c>
      <c r="AU150" s="1141">
        <f t="shared" si="428"/>
        <v>-4102</v>
      </c>
      <c r="AV150" s="39">
        <f t="shared" si="428"/>
        <v>739</v>
      </c>
      <c r="AW150" s="39">
        <f t="shared" si="428"/>
        <v>647</v>
      </c>
      <c r="AX150" s="39">
        <f t="shared" si="429" ref="AX150:BC150">ROUND(INDEX(MO_LR_LossIncurred,0,COLUMN())-INDEX(MO_LR_ChangeInNLR,0,COLUMN()),6)</f>
        <v>848</v>
      </c>
      <c r="AY150" s="39">
        <f t="shared" si="429"/>
        <v>949</v>
      </c>
      <c r="AZ150" s="1141">
        <f t="shared" si="429"/>
        <v>3183</v>
      </c>
      <c r="BA150" s="39">
        <f t="shared" si="429"/>
        <v>893</v>
      </c>
      <c r="BB150" s="39">
        <f t="shared" si="429"/>
        <v>756</v>
      </c>
      <c r="BC150" s="39">
        <f t="shared" si="429"/>
        <v>841</v>
      </c>
      <c r="BD150" s="39">
        <f>ROUND(INDEX(MO_LR_LossIncurred,0,COLUMN())-INDEX(MO_LR_ChangeInNLR,0,COLUMN()),6)</f>
        <v>912</v>
      </c>
      <c r="BE150" s="1141">
        <f>ROUND(INDEX(MO_LR_LossIncurred,0,COLUMN())-INDEX(MO_LR_ChangeInNLR,0,COLUMN()),6)</f>
        <v>3402</v>
      </c>
      <c r="BF150" s="39">
        <f>ROUND(INDEX(MO_LR_LossIncurred,0,COLUMN())-INDEX(MO_LR_ChangeInNLR,0,COLUMN()),6)</f>
        <v>976</v>
      </c>
      <c r="BG150" s="39">
        <f>ROUND(INDEX(MO_LR_LossIncurred,0,COLUMN())-INDEX(MO_LR_ChangeInNLR,0,COLUMN()),6)</f>
        <v>1026</v>
      </c>
      <c r="BH150" s="876">
        <f>ROUND(INDEX(MO_LR_LossIncurred,0,COLUMN())-INDEX(MO_LR_ChangeInNLR,0,COLUMN()),6)</f>
        <v>889</v>
      </c>
      <c r="BI150" s="363">
        <f>ROUND(INDEX(MO_LR_LossIncurred,0,COLUMN())*INDEX(MO_LR_LossPayoutRatio,0,COLUMN()),6)</f>
        <v>775.89106000000004</v>
      </c>
      <c r="BJ150" s="1134">
        <f>SUM(BF150,BG150,BH150,BI150)</f>
        <v>3666.8910599999999</v>
      </c>
      <c r="BK150" s="363">
        <f>ROUND(INDEX(MO_LR_LossIncurred,0,COLUMN())*INDEX(MO_LR_LossPayoutRatio,0,COLUMN()),6)</f>
        <v>764.36752799999999</v>
      </c>
      <c r="BL150" s="363">
        <f>ROUND(INDEX(MO_LR_LossIncurred,0,COLUMN())*INDEX(MO_LR_LossPayoutRatio,0,COLUMN()),6)</f>
        <v>818.53818999999999</v>
      </c>
      <c r="BM150" s="363">
        <f>ROUND(INDEX(MO_LR_LossIncurred,0,COLUMN())*INDEX(MO_LR_LossPayoutRatio,0,COLUMN()),6)</f>
        <v>898.321819</v>
      </c>
      <c r="BN150" s="363">
        <f>ROUND(INDEX(MO_LR_LossIncurred,0,COLUMN())*INDEX(MO_LR_LossPayoutRatio,0,COLUMN()),6)</f>
        <v>752.335465</v>
      </c>
      <c r="BO150" s="1134">
        <f>SUM(BK150,BL150,BM150,BN150)</f>
        <v>3233.5630019999999</v>
      </c>
      <c r="BP150" s="1134">
        <f>ROUND(INDEX(MO_LR_LossIncurred,0,COLUMN())*INDEX(MO_LR_LossPayoutRatio,0,COLUMN()),6)</f>
        <v>3807.052369</v>
      </c>
      <c r="BQ150" s="1134">
        <f>ROUND(INDEX(MO_LR_LossIncurred,0,COLUMN())*INDEX(MO_LR_LossPayoutRatio,0,COLUMN()),6)</f>
        <v>4963.3577539999997</v>
      </c>
      <c r="BR150" s="1134">
        <f>ROUND(INDEX(MO_LR_LossIncurred,0,COLUMN())*INDEX(MO_LR_LossPayoutRatio,0,COLUMN()),6)</f>
        <v>5221.0443230000001</v>
      </c>
      <c r="BS150" s="32"/>
    </row>
    <row r="151" spans="1:71" s="674" customFormat="1" ht="15" hidden="1" outlineLevel="1">
      <c r="A151" s="101" t="s">
        <v>117</v>
      </c>
      <c r="B151" s="486"/>
      <c r="C151" s="1147"/>
      <c r="D151" s="1180">
        <f t="shared" si="430" ref="D151:K151">D147-C147</f>
        <v>316</v>
      </c>
      <c r="E151" s="1180">
        <f t="shared" si="430"/>
        <v>129</v>
      </c>
      <c r="F151" s="1180">
        <f t="shared" si="430"/>
        <v>-483</v>
      </c>
      <c r="G151" s="1180">
        <f t="shared" si="430"/>
        <v>158</v>
      </c>
      <c r="H151" s="287">
        <f t="shared" si="430"/>
        <v>-88</v>
      </c>
      <c r="I151" s="287">
        <f t="shared" si="430"/>
        <v>1098</v>
      </c>
      <c r="J151" s="287">
        <f t="shared" si="430"/>
        <v>248</v>
      </c>
      <c r="K151" s="287">
        <f t="shared" si="430"/>
        <v>123</v>
      </c>
      <c r="L151" s="1180">
        <f>SUM(H151,I151,J151,K151)</f>
        <v>1381</v>
      </c>
      <c r="M151" s="287">
        <f>M147-L147</f>
        <v>-44</v>
      </c>
      <c r="N151" s="287">
        <f>N147-M147</f>
        <v>79</v>
      </c>
      <c r="O151" s="287">
        <f>O147-N147</f>
        <v>241</v>
      </c>
      <c r="P151" s="287">
        <f>P147-O147</f>
        <v>581</v>
      </c>
      <c r="Q151" s="1180">
        <f>SUM(M151,N151,O151,P151)</f>
        <v>857</v>
      </c>
      <c r="R151" s="287">
        <f>R147-Q147</f>
        <v>56</v>
      </c>
      <c r="S151" s="287">
        <f>S147-R147</f>
        <v>80</v>
      </c>
      <c r="T151" s="287">
        <f>T147-S147</f>
        <v>220</v>
      </c>
      <c r="U151" s="287">
        <f>U147-T147</f>
        <v>-21</v>
      </c>
      <c r="V151" s="1180">
        <f>SUM(R151,S151,T151,U151)</f>
        <v>335</v>
      </c>
      <c r="W151" s="287">
        <f>W147-V147</f>
        <v>60</v>
      </c>
      <c r="X151" s="287">
        <f>X147-W147</f>
        <v>5</v>
      </c>
      <c r="Y151" s="287">
        <f>Y147-X147</f>
        <v>410</v>
      </c>
      <c r="Z151" s="287">
        <f>Z147-Y147</f>
        <v>8</v>
      </c>
      <c r="AA151" s="1180">
        <f>SUM(W151,X151,Y151,Z151)</f>
        <v>483</v>
      </c>
      <c r="AB151" s="287">
        <f>AB147-AA147</f>
        <v>-289</v>
      </c>
      <c r="AC151" s="287">
        <f>AC147-AB147</f>
        <v>0</v>
      </c>
      <c r="AD151" s="287">
        <f>AD147-AC147</f>
        <v>298</v>
      </c>
      <c r="AE151" s="287">
        <f>AE147-AD147</f>
        <v>74</v>
      </c>
      <c r="AF151" s="1180">
        <f>SUM(AB151,AC151,AD151,AE151)</f>
        <v>83</v>
      </c>
      <c r="AG151" s="287">
        <f>AG147-AF147</f>
        <v>-27</v>
      </c>
      <c r="AH151" s="287">
        <f>AH147-AG147</f>
        <v>62</v>
      </c>
      <c r="AI151" s="287">
        <f>AI147-AH147</f>
        <v>159</v>
      </c>
      <c r="AJ151" s="287">
        <f>AJ147-AI147</f>
        <v>231</v>
      </c>
      <c r="AK151" s="1180">
        <f>SUM(AG151,AH151,AI151,AJ151)</f>
        <v>425</v>
      </c>
      <c r="AL151" s="287">
        <f>AL147-AK147</f>
        <v>-98</v>
      </c>
      <c r="AM151" s="287">
        <f>AM147-AL147</f>
        <v>126</v>
      </c>
      <c r="AN151" s="287">
        <f>AN147-AM147</f>
        <v>90</v>
      </c>
      <c r="AO151" s="287">
        <f>AO147-AN147</f>
        <v>-6635</v>
      </c>
      <c r="AP151" s="1180">
        <f>SUM(AL151,AM151,AN151,AO151)</f>
        <v>-6517</v>
      </c>
      <c r="AQ151" s="287">
        <f>AQ147-AP147</f>
        <v>6853</v>
      </c>
      <c r="AR151" s="287">
        <f>AR147-AQ147</f>
        <v>15</v>
      </c>
      <c r="AS151" s="287">
        <f>AS147-AR147</f>
        <v>300</v>
      </c>
      <c r="AT151" s="287">
        <f>AT147-AS147</f>
        <v>87</v>
      </c>
      <c r="AU151" s="1180">
        <f>SUM(AQ151,AR151,AS151,AT151)</f>
        <v>7255</v>
      </c>
      <c r="AV151" s="287">
        <f>AV147-AU147</f>
        <v>-47</v>
      </c>
      <c r="AW151" s="287">
        <f>AW147-AV147</f>
        <v>126</v>
      </c>
      <c r="AX151" s="287">
        <f>AX147-AW147</f>
        <v>325</v>
      </c>
      <c r="AY151" s="287">
        <f>AY147-AX147</f>
        <v>38</v>
      </c>
      <c r="AZ151" s="1180">
        <f>SUM(AV151,AW151,AX151,AY151)</f>
        <v>442</v>
      </c>
      <c r="BA151" s="287">
        <f>BA147-AZ147</f>
        <v>-74</v>
      </c>
      <c r="BB151" s="287">
        <f>BB147-BA147</f>
        <v>150</v>
      </c>
      <c r="BC151" s="287">
        <f>BC147-BB147</f>
        <v>397</v>
      </c>
      <c r="BD151" s="287">
        <f>BD147-BC147</f>
        <v>140</v>
      </c>
      <c r="BE151" s="1180">
        <f>SUM(BA151,BB151,BC151,BD151)</f>
        <v>613</v>
      </c>
      <c r="BF151" s="287">
        <f>BF147-BE147</f>
        <v>-70</v>
      </c>
      <c r="BG151" s="287">
        <f>BG147-BF147</f>
        <v>-90</v>
      </c>
      <c r="BH151" s="888">
        <f>BH147-BG147</f>
        <v>539</v>
      </c>
      <c r="BI151" s="159">
        <f>ROUND(INDEX(MO_LR_LossIncurred,0,COLUMN())-INDEX(MO_LR_LossPaid,0,COLUMN()),6)</f>
        <v>86.210117999999994</v>
      </c>
      <c r="BJ151" s="1148">
        <f t="shared" si="431" ref="BJ151">ROUND(INDEX(MO_LR_LossIncurred,0,COLUMN())-INDEX(MO_LR_LossPaid,0,COLUMN()),6)</f>
        <v>465.21011800000002</v>
      </c>
      <c r="BK151" s="159">
        <f t="shared" si="432" ref="BK151:BR151">ROUND(INDEX(MO_LR_LossIncurred,0,COLUMN())-INDEX(MO_LR_LossPaid,0,COLUMN()),6)</f>
        <v>84.929725000000005</v>
      </c>
      <c r="BL151" s="159">
        <f t="shared" si="432"/>
        <v>90.948688000000004</v>
      </c>
      <c r="BM151" s="159">
        <f t="shared" si="432"/>
        <v>99.813535999999999</v>
      </c>
      <c r="BN151" s="159">
        <f t="shared" si="432"/>
        <v>83.592830000000006</v>
      </c>
      <c r="BO151" s="1148">
        <f t="shared" si="432"/>
        <v>359.28477900000001</v>
      </c>
      <c r="BP151" s="1147">
        <f t="shared" si="432"/>
        <v>423.00581899999997</v>
      </c>
      <c r="BQ151" s="1147">
        <f t="shared" si="432"/>
        <v>551.484195</v>
      </c>
      <c r="BR151" s="1148">
        <f t="shared" si="432"/>
        <v>580.11603600000001</v>
      </c>
      <c r="BS151" s="37"/>
    </row>
    <row r="152" spans="1:71" s="672" customFormat="1" ht="15" hidden="1" outlineLevel="1">
      <c r="A152" s="501"/>
      <c r="B152" s="502"/>
      <c r="C152" s="1181"/>
      <c r="D152" s="1181"/>
      <c r="E152" s="1181"/>
      <c r="F152" s="1181"/>
      <c r="G152" s="1181"/>
      <c r="H152" s="976"/>
      <c r="I152" s="976"/>
      <c r="J152" s="976"/>
      <c r="K152" s="976"/>
      <c r="L152" s="1181"/>
      <c r="M152" s="976"/>
      <c r="N152" s="976"/>
      <c r="O152" s="976"/>
      <c r="P152" s="976"/>
      <c r="Q152" s="1181"/>
      <c r="R152" s="976"/>
      <c r="S152" s="976"/>
      <c r="T152" s="976"/>
      <c r="U152" s="976"/>
      <c r="V152" s="1181"/>
      <c r="W152" s="976"/>
      <c r="X152" s="976"/>
      <c r="Y152" s="976"/>
      <c r="Z152" s="976"/>
      <c r="AA152" s="1181"/>
      <c r="AB152" s="976"/>
      <c r="AC152" s="976"/>
      <c r="AD152" s="976"/>
      <c r="AE152" s="976"/>
      <c r="AF152" s="1181"/>
      <c r="AG152" s="976"/>
      <c r="AH152" s="976"/>
      <c r="AI152" s="976"/>
      <c r="AJ152" s="976"/>
      <c r="AK152" s="1181"/>
      <c r="AL152" s="976"/>
      <c r="AM152" s="976"/>
      <c r="AN152" s="976"/>
      <c r="AO152" s="976"/>
      <c r="AP152" s="1181"/>
      <c r="AQ152" s="976"/>
      <c r="AR152" s="976"/>
      <c r="AS152" s="976"/>
      <c r="AT152" s="976"/>
      <c r="AU152" s="1181"/>
      <c r="AV152" s="976"/>
      <c r="AW152" s="976"/>
      <c r="AX152" s="976"/>
      <c r="AY152" s="976"/>
      <c r="AZ152" s="1181"/>
      <c r="BA152" s="976"/>
      <c r="BB152" s="976"/>
      <c r="BC152" s="976"/>
      <c r="BD152" s="976"/>
      <c r="BE152" s="1181"/>
      <c r="BF152" s="976"/>
      <c r="BG152" s="976"/>
      <c r="BH152" s="977"/>
      <c r="BI152" s="978"/>
      <c r="BJ152" s="1182"/>
      <c r="BK152" s="978"/>
      <c r="BL152" s="978"/>
      <c r="BM152" s="978"/>
      <c r="BN152" s="978"/>
      <c r="BO152" s="1182"/>
      <c r="BP152" s="1181"/>
      <c r="BQ152" s="1181"/>
      <c r="BR152" s="1182"/>
      <c r="BS152" s="456"/>
    </row>
    <row r="153" spans="1:71" s="677" customFormat="1" ht="15" hidden="1" outlineLevel="1">
      <c r="A153" s="24" t="s">
        <v>118</v>
      </c>
      <c r="B153" s="166"/>
      <c r="C153" s="1177"/>
      <c r="D153" s="1183">
        <f t="shared" si="433" ref="D153:AK153">D150/D149</f>
        <v>0.78311599176389846</v>
      </c>
      <c r="E153" s="1183">
        <f t="shared" si="433"/>
        <v>0.92603211009174313</v>
      </c>
      <c r="F153" s="1183">
        <f t="shared" si="433"/>
        <v>1.2578750667378538</v>
      </c>
      <c r="G153" s="1183">
        <f t="shared" si="433"/>
        <v>0.92254901960784319</v>
      </c>
      <c r="H153" s="785">
        <f t="shared" si="433"/>
        <v>1.2051282051282051</v>
      </c>
      <c r="I153" s="785">
        <f t="shared" si="433"/>
        <v>-0.82392026578073085</v>
      </c>
      <c r="J153" s="785">
        <f t="shared" si="433"/>
        <v>0.68367346938775508</v>
      </c>
      <c r="K153" s="785">
        <f t="shared" si="433"/>
        <v>0.81885125184094254</v>
      </c>
      <c r="L153" s="1183">
        <f t="shared" si="433"/>
        <v>0.44627105052125099</v>
      </c>
      <c r="M153" s="785">
        <f t="shared" si="433"/>
        <v>1.0763888888888888</v>
      </c>
      <c r="N153" s="785">
        <f t="shared" si="433"/>
        <v>0.86855241264559069</v>
      </c>
      <c r="O153" s="785">
        <f t="shared" si="433"/>
        <v>0.70787878787878789</v>
      </c>
      <c r="P153" s="785">
        <f t="shared" si="433"/>
        <v>0.16161616161616163</v>
      </c>
      <c r="Q153" s="1183">
        <f t="shared" si="433"/>
        <v>0.6820037105751392</v>
      </c>
      <c r="R153" s="785">
        <f t="shared" si="433"/>
        <v>0.90361445783132532</v>
      </c>
      <c r="S153" s="785">
        <f t="shared" si="433"/>
        <v>0.88355167394468703</v>
      </c>
      <c r="T153" s="785">
        <f t="shared" si="433"/>
        <v>0.71241830065359479</v>
      </c>
      <c r="U153" s="785">
        <f t="shared" si="433"/>
        <v>1.0288065843621399</v>
      </c>
      <c r="V153" s="1183">
        <f t="shared" si="433"/>
        <v>0.87871107892831279</v>
      </c>
      <c r="W153" s="785">
        <f t="shared" si="433"/>
        <v>0.90147783251231528</v>
      </c>
      <c r="X153" s="785">
        <f t="shared" si="433"/>
        <v>0.99212598425196852</v>
      </c>
      <c r="Y153" s="785">
        <f t="shared" si="433"/>
        <v>0.5879396984924623</v>
      </c>
      <c r="Z153" s="785">
        <f t="shared" si="433"/>
        <v>0.98882681564245811</v>
      </c>
      <c r="AA153" s="1183">
        <f t="shared" si="433"/>
        <v>0.83654822335025381</v>
      </c>
      <c r="AB153" s="785">
        <f t="shared" si="433"/>
        <v>1.4508580343213728</v>
      </c>
      <c r="AC153" s="785">
        <f t="shared" si="433"/>
        <v>1</v>
      </c>
      <c r="AD153" s="785">
        <f t="shared" si="433"/>
        <v>0.65825688073394495</v>
      </c>
      <c r="AE153" s="785">
        <f t="shared" si="433"/>
        <v>0.90715181932245925</v>
      </c>
      <c r="AF153" s="1183">
        <f t="shared" si="433"/>
        <v>0.97236097236097241</v>
      </c>
      <c r="AG153" s="785">
        <f t="shared" si="433"/>
        <v>1.0390173410404624</v>
      </c>
      <c r="AH153" s="785">
        <f t="shared" si="433"/>
        <v>0.91424619640387272</v>
      </c>
      <c r="AI153" s="785">
        <f t="shared" si="433"/>
        <v>0.83156779661016944</v>
      </c>
      <c r="AJ153" s="785">
        <f t="shared" si="433"/>
        <v>0.74671052631578949</v>
      </c>
      <c r="AK153" s="1183">
        <f t="shared" si="433"/>
        <v>0.87007031488841335</v>
      </c>
      <c r="AL153" s="785">
        <f t="shared" si="434" ref="AL153:AQ153">AL150/AL149</f>
        <v>1.1386138613861385</v>
      </c>
      <c r="AM153" s="785">
        <f t="shared" si="434"/>
        <v>0.83657587548638135</v>
      </c>
      <c r="AN153" s="785">
        <f t="shared" si="434"/>
        <v>0.90654205607476634</v>
      </c>
      <c r="AO153" s="785">
        <f t="shared" si="434"/>
        <v>8.9939759036144586</v>
      </c>
      <c r="AP153" s="1183">
        <f t="shared" si="434"/>
        <v>2.9923570773463775</v>
      </c>
      <c r="AQ153" s="785">
        <f t="shared" si="434"/>
        <v>-9.2743628185907045</v>
      </c>
      <c r="AR153" s="785">
        <f t="shared" si="435" ref="AR153:AW153">AR150/AR149</f>
        <v>0.97896213183730718</v>
      </c>
      <c r="AS153" s="785">
        <f t="shared" si="435"/>
        <v>0.68520461699895063</v>
      </c>
      <c r="AT153" s="785">
        <f t="shared" si="435"/>
        <v>0.89390243902439026</v>
      </c>
      <c r="AU153" s="1183">
        <f t="shared" si="435"/>
        <v>-1.3009831906121154</v>
      </c>
      <c r="AV153" s="785">
        <f t="shared" si="435"/>
        <v>1.0679190751445087</v>
      </c>
      <c r="AW153" s="785">
        <f t="shared" si="435"/>
        <v>0.83699870633893925</v>
      </c>
      <c r="AX153" s="785">
        <f t="shared" si="436" ref="AX153:BC153">AX150/AX149</f>
        <v>0.72293265132139817</v>
      </c>
      <c r="AY153" s="785">
        <f t="shared" si="436"/>
        <v>0.96149949341438701</v>
      </c>
      <c r="AZ153" s="1183">
        <f t="shared" si="436"/>
        <v>0.87806896551724134</v>
      </c>
      <c r="BA153" s="785">
        <f t="shared" si="436"/>
        <v>1.0903540903540903</v>
      </c>
      <c r="BB153" s="785">
        <f t="shared" si="436"/>
        <v>0.83443708609271527</v>
      </c>
      <c r="BC153" s="785">
        <f t="shared" si="436"/>
        <v>0.67932148626817446</v>
      </c>
      <c r="BD153" s="785">
        <f>BD150/BD149</f>
        <v>0.86692015209125473</v>
      </c>
      <c r="BE153" s="1183">
        <f>BE150/BE149</f>
        <v>0.84732254047322542</v>
      </c>
      <c r="BF153" s="785">
        <f>BF150/BF149</f>
        <v>1.0772626931567328</v>
      </c>
      <c r="BG153" s="785">
        <f>BG150/BG149</f>
        <v>1.0961538461538463</v>
      </c>
      <c r="BH153" s="889">
        <f>BH150/BH149</f>
        <v>0.62254901960784315</v>
      </c>
      <c r="BI153" s="1058">
        <v>0.90</v>
      </c>
      <c r="BJ153" s="1184">
        <f>BJ150/BJ149</f>
        <v>0.88741560335529612</v>
      </c>
      <c r="BK153" s="1058">
        <v>0.90</v>
      </c>
      <c r="BL153" s="1058">
        <v>0.90</v>
      </c>
      <c r="BM153" s="1058">
        <v>0.90</v>
      </c>
      <c r="BN153" s="1058">
        <v>0.90</v>
      </c>
      <c r="BO153" s="1184">
        <f>BO150/BO149</f>
        <v>0.89999999980210688</v>
      </c>
      <c r="BP153" s="1185">
        <v>0.90</v>
      </c>
      <c r="BQ153" s="1185">
        <v>0.90</v>
      </c>
      <c r="BR153" s="1186">
        <v>0.90</v>
      </c>
      <c r="BS153" s="31"/>
    </row>
    <row r="154" spans="1:71" s="667" customFormat="1" ht="15" collapsed="1">
      <c r="A154" s="499"/>
      <c r="B154" s="492"/>
      <c r="C154" s="1161"/>
      <c r="D154" s="1161"/>
      <c r="E154" s="1161"/>
      <c r="F154" s="1161"/>
      <c r="G154" s="1161"/>
      <c r="H154" s="971"/>
      <c r="I154" s="971"/>
      <c r="J154" s="971"/>
      <c r="K154" s="971"/>
      <c r="L154" s="1161"/>
      <c r="M154" s="971"/>
      <c r="N154" s="971"/>
      <c r="O154" s="971"/>
      <c r="P154" s="971"/>
      <c r="Q154" s="1161"/>
      <c r="R154" s="971"/>
      <c r="S154" s="971"/>
      <c r="T154" s="971"/>
      <c r="U154" s="971"/>
      <c r="V154" s="1161"/>
      <c r="W154" s="971"/>
      <c r="X154" s="971"/>
      <c r="Y154" s="971"/>
      <c r="Z154" s="971"/>
      <c r="AA154" s="1161"/>
      <c r="AB154" s="971"/>
      <c r="AC154" s="971"/>
      <c r="AD154" s="971"/>
      <c r="AE154" s="971"/>
      <c r="AF154" s="1161"/>
      <c r="AG154" s="971"/>
      <c r="AH154" s="971"/>
      <c r="AI154" s="971"/>
      <c r="AJ154" s="971"/>
      <c r="AK154" s="1161"/>
      <c r="AL154" s="971"/>
      <c r="AM154" s="971"/>
      <c r="AN154" s="971"/>
      <c r="AO154" s="971"/>
      <c r="AP154" s="1161"/>
      <c r="AQ154" s="971"/>
      <c r="AR154" s="971"/>
      <c r="AS154" s="971"/>
      <c r="AT154" s="971"/>
      <c r="AU154" s="1161"/>
      <c r="AV154" s="971"/>
      <c r="AW154" s="971"/>
      <c r="AX154" s="971"/>
      <c r="AY154" s="971"/>
      <c r="AZ154" s="1161"/>
      <c r="BA154" s="971"/>
      <c r="BB154" s="971"/>
      <c r="BC154" s="971"/>
      <c r="BD154" s="971"/>
      <c r="BE154" s="1161"/>
      <c r="BF154" s="971"/>
      <c r="BG154" s="971"/>
      <c r="BH154" s="972"/>
      <c r="BI154" s="973"/>
      <c r="BJ154" s="1162"/>
      <c r="BK154" s="973"/>
      <c r="BL154" s="973"/>
      <c r="BM154" s="973"/>
      <c r="BN154" s="973"/>
      <c r="BO154" s="1162"/>
      <c r="BP154" s="1161"/>
      <c r="BQ154" s="1161"/>
      <c r="BR154" s="1162"/>
      <c r="BS154" s="664"/>
    </row>
    <row r="155" spans="1:71" s="672" customFormat="1" ht="15">
      <c r="A155" s="951" t="s">
        <v>119</v>
      </c>
      <c r="B155" s="951"/>
      <c r="C155" s="967"/>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7"/>
      <c r="AJ155" s="967"/>
      <c r="AK155" s="967"/>
      <c r="AL155" s="967"/>
      <c r="AM155" s="967"/>
      <c r="AN155" s="967"/>
      <c r="AO155" s="967"/>
      <c r="AP155" s="967"/>
      <c r="AQ155" s="967"/>
      <c r="AR155" s="967"/>
      <c r="AS155" s="967"/>
      <c r="AT155" s="967"/>
      <c r="AU155" s="967"/>
      <c r="AV155" s="967"/>
      <c r="AW155" s="967"/>
      <c r="AX155" s="967"/>
      <c r="AY155" s="967"/>
      <c r="AZ155" s="967"/>
      <c r="BA155" s="967"/>
      <c r="BB155" s="967"/>
      <c r="BC155" s="967"/>
      <c r="BD155" s="967"/>
      <c r="BE155" s="967"/>
      <c r="BF155" s="967"/>
      <c r="BG155" s="967"/>
      <c r="BH155" s="968"/>
      <c r="BI155" s="969"/>
      <c r="BJ155" s="969"/>
      <c r="BK155" s="969"/>
      <c r="BL155" s="969"/>
      <c r="BM155" s="969"/>
      <c r="BN155" s="969"/>
      <c r="BO155" s="969"/>
      <c r="BP155" s="967"/>
      <c r="BQ155" s="967"/>
      <c r="BR155" s="969"/>
      <c r="BS155" s="456"/>
    </row>
    <row r="156" spans="1:71" s="673" customFormat="1" ht="15" hidden="1" outlineLevel="2">
      <c r="A156" s="114" t="s">
        <v>120</v>
      </c>
      <c r="B156" s="480"/>
      <c r="C156" s="1140">
        <f t="shared" si="437" ref="C156:AK156">C533</f>
        <v>16823</v>
      </c>
      <c r="D156" s="1140">
        <f t="shared" si="437"/>
        <v>19328</v>
      </c>
      <c r="E156" s="1140">
        <f t="shared" si="437"/>
        <v>21807</v>
      </c>
      <c r="F156" s="1140">
        <f t="shared" si="437"/>
        <v>24118</v>
      </c>
      <c r="G156" s="1140">
        <f t="shared" si="437"/>
        <v>26456</v>
      </c>
      <c r="H156" s="288">
        <f t="shared" si="437"/>
        <v>27390</v>
      </c>
      <c r="I156" s="288">
        <f t="shared" si="437"/>
        <v>28988</v>
      </c>
      <c r="J156" s="288">
        <f t="shared" si="437"/>
        <v>29965</v>
      </c>
      <c r="K156" s="288">
        <f t="shared" si="437"/>
        <v>30734</v>
      </c>
      <c r="L156" s="1140">
        <f t="shared" si="437"/>
        <v>30734</v>
      </c>
      <c r="M156" s="288">
        <f t="shared" si="437"/>
        <v>31968</v>
      </c>
      <c r="N156" s="288">
        <f t="shared" si="437"/>
        <v>32260</v>
      </c>
      <c r="O156" s="288">
        <f t="shared" si="437"/>
        <v>33114</v>
      </c>
      <c r="P156" s="288">
        <f t="shared" si="437"/>
        <v>32284</v>
      </c>
      <c r="Q156" s="1140">
        <f t="shared" si="437"/>
        <v>32284</v>
      </c>
      <c r="R156" s="288">
        <f t="shared" si="437"/>
        <v>33921</v>
      </c>
      <c r="S156" s="288">
        <f t="shared" si="437"/>
        <v>34638</v>
      </c>
      <c r="T156" s="288">
        <f t="shared" si="437"/>
        <v>35394</v>
      </c>
      <c r="U156" s="288">
        <f t="shared" si="437"/>
        <v>34544</v>
      </c>
      <c r="V156" s="1140">
        <f t="shared" si="437"/>
        <v>34544</v>
      </c>
      <c r="W156" s="288">
        <f t="shared" si="437"/>
        <v>36456</v>
      </c>
      <c r="X156" s="288">
        <f t="shared" si="437"/>
        <v>37504</v>
      </c>
      <c r="Y156" s="288">
        <f t="shared" si="437"/>
        <v>37818</v>
      </c>
      <c r="Z156" s="288">
        <f t="shared" si="437"/>
        <v>38379</v>
      </c>
      <c r="AA156" s="1140">
        <f t="shared" si="437"/>
        <v>38379</v>
      </c>
      <c r="AB156" s="288">
        <f t="shared" si="437"/>
        <v>39125</v>
      </c>
      <c r="AC156" s="288">
        <f t="shared" si="437"/>
        <v>39648</v>
      </c>
      <c r="AD156" s="288">
        <f t="shared" si="437"/>
        <v>40244</v>
      </c>
      <c r="AE156" s="288">
        <f t="shared" si="437"/>
        <v>41997</v>
      </c>
      <c r="AF156" s="1140">
        <f t="shared" si="437"/>
        <v>41997</v>
      </c>
      <c r="AG156" s="288">
        <f t="shared" si="437"/>
        <v>43431</v>
      </c>
      <c r="AH156" s="288">
        <f t="shared" si="437"/>
        <v>44710</v>
      </c>
      <c r="AI156" s="288">
        <f t="shared" si="437"/>
        <v>45503</v>
      </c>
      <c r="AJ156" s="288">
        <f t="shared" si="437"/>
        <v>46505</v>
      </c>
      <c r="AK156" s="1140">
        <f t="shared" si="437"/>
        <v>46505</v>
      </c>
      <c r="AL156" s="288">
        <f t="shared" si="438" ref="AL156:AM158">AL533</f>
        <v>46134</v>
      </c>
      <c r="AM156" s="288">
        <f t="shared" si="438"/>
        <v>48046</v>
      </c>
      <c r="AN156" s="288">
        <f t="shared" si="439" ref="AN156:AP158">AN533</f>
        <v>48193</v>
      </c>
      <c r="AO156" s="288">
        <f t="shared" si="439"/>
        <v>43207</v>
      </c>
      <c r="AP156" s="1140">
        <f t="shared" si="439"/>
        <v>43207</v>
      </c>
      <c r="AQ156" s="288">
        <f t="shared" si="440" ref="AQ156:AR158">AQ533</f>
        <v>9289</v>
      </c>
      <c r="AR156" s="288">
        <f t="shared" si="440"/>
        <v>9732</v>
      </c>
      <c r="AS156" s="288">
        <f t="shared" si="441" ref="AS156:AU158">AS533</f>
        <v>10427</v>
      </c>
      <c r="AT156" s="288">
        <f t="shared" si="441"/>
        <v>10357</v>
      </c>
      <c r="AU156" s="1140">
        <f t="shared" si="441"/>
        <v>10357</v>
      </c>
      <c r="AV156" s="288">
        <f t="shared" si="442" ref="AV156:AW158">AV533</f>
        <v>10809</v>
      </c>
      <c r="AW156" s="288">
        <f t="shared" si="442"/>
        <v>9793</v>
      </c>
      <c r="AX156" s="288">
        <f t="shared" si="443" ref="AX156:AZ158">AX533</f>
        <v>10034</v>
      </c>
      <c r="AY156" s="288">
        <f t="shared" si="443"/>
        <v>10095</v>
      </c>
      <c r="AZ156" s="1140">
        <f t="shared" si="443"/>
        <v>10095</v>
      </c>
      <c r="BA156" s="288">
        <f t="shared" si="444" ref="BA156:BB158">BA533</f>
        <v>10044</v>
      </c>
      <c r="BB156" s="288">
        <f t="shared" si="444"/>
        <v>9885</v>
      </c>
      <c r="BC156" s="288">
        <f t="shared" si="445" ref="BC156:BE158">BC533</f>
        <v>9931</v>
      </c>
      <c r="BD156" s="288">
        <f t="shared" si="445"/>
        <v>10377</v>
      </c>
      <c r="BE156" s="1140">
        <f t="shared" si="445"/>
        <v>10377</v>
      </c>
      <c r="BF156" s="288">
        <f t="shared" si="446" ref="BF156:BG158">BF533</f>
        <v>10371</v>
      </c>
      <c r="BG156" s="288">
        <f t="shared" si="446"/>
        <v>10196</v>
      </c>
      <c r="BH156" s="875">
        <f>BH533</f>
        <v>10435</v>
      </c>
      <c r="BI156" s="171"/>
      <c r="BJ156" s="1133"/>
      <c r="BK156" s="171"/>
      <c r="BL156" s="171"/>
      <c r="BM156" s="171"/>
      <c r="BN156" s="171"/>
      <c r="BO156" s="1133"/>
      <c r="BP156" s="1131"/>
      <c r="BQ156" s="1131"/>
      <c r="BR156" s="1133"/>
      <c r="BS156" s="32"/>
    </row>
    <row r="157" spans="1:71" s="673" customFormat="1" ht="15" hidden="1" outlineLevel="2">
      <c r="A157" s="114" t="s">
        <v>121</v>
      </c>
      <c r="B157" s="480"/>
      <c r="C157" s="1140">
        <f t="shared" si="447" ref="C157:AK157">C534</f>
        <v>372</v>
      </c>
      <c r="D157" s="1140">
        <f t="shared" si="447"/>
        <v>393</v>
      </c>
      <c r="E157" s="1140">
        <f t="shared" si="447"/>
        <v>440</v>
      </c>
      <c r="F157" s="1140">
        <f t="shared" si="447"/>
        <v>321</v>
      </c>
      <c r="G157" s="1140">
        <f t="shared" si="447"/>
        <v>305</v>
      </c>
      <c r="H157" s="288">
        <f t="shared" si="447"/>
        <v>297</v>
      </c>
      <c r="I157" s="288">
        <f t="shared" si="447"/>
        <v>343</v>
      </c>
      <c r="J157" s="288">
        <f t="shared" si="447"/>
        <v>342</v>
      </c>
      <c r="K157" s="288">
        <f t="shared" si="447"/>
        <v>266</v>
      </c>
      <c r="L157" s="1140">
        <f t="shared" si="447"/>
        <v>266</v>
      </c>
      <c r="M157" s="288">
        <f t="shared" si="447"/>
        <v>273</v>
      </c>
      <c r="N157" s="288">
        <f t="shared" si="447"/>
        <v>279</v>
      </c>
      <c r="O157" s="288">
        <f t="shared" si="447"/>
        <v>269</v>
      </c>
      <c r="P157" s="288">
        <f t="shared" si="447"/>
        <v>254</v>
      </c>
      <c r="Q157" s="1140">
        <f t="shared" si="447"/>
        <v>254</v>
      </c>
      <c r="R157" s="288">
        <f t="shared" si="447"/>
        <v>249</v>
      </c>
      <c r="S157" s="288">
        <f t="shared" si="447"/>
        <v>271</v>
      </c>
      <c r="T157" s="288">
        <f t="shared" si="447"/>
        <v>348</v>
      </c>
      <c r="U157" s="288">
        <f t="shared" si="447"/>
        <v>359</v>
      </c>
      <c r="V157" s="1140">
        <f t="shared" si="447"/>
        <v>359</v>
      </c>
      <c r="W157" s="288">
        <f t="shared" si="447"/>
        <v>359</v>
      </c>
      <c r="X157" s="288">
        <f t="shared" si="447"/>
        <v>339</v>
      </c>
      <c r="Y157" s="288">
        <f t="shared" si="447"/>
        <v>350</v>
      </c>
      <c r="Z157" s="288">
        <f t="shared" si="447"/>
        <v>348</v>
      </c>
      <c r="AA157" s="1140">
        <f t="shared" si="447"/>
        <v>348</v>
      </c>
      <c r="AB157" s="288">
        <f t="shared" si="447"/>
        <v>160</v>
      </c>
      <c r="AC157" s="288">
        <f t="shared" si="447"/>
        <v>137</v>
      </c>
      <c r="AD157" s="288">
        <f t="shared" si="447"/>
        <v>103</v>
      </c>
      <c r="AE157" s="288">
        <f t="shared" si="447"/>
        <v>105</v>
      </c>
      <c r="AF157" s="1140">
        <f t="shared" si="447"/>
        <v>105</v>
      </c>
      <c r="AG157" s="288">
        <f t="shared" si="447"/>
        <v>107</v>
      </c>
      <c r="AH157" s="288">
        <f t="shared" si="447"/>
        <v>106</v>
      </c>
      <c r="AI157" s="288">
        <f t="shared" si="447"/>
        <v>108</v>
      </c>
      <c r="AJ157" s="288">
        <f t="shared" si="447"/>
        <v>113</v>
      </c>
      <c r="AK157" s="1140">
        <f t="shared" si="447"/>
        <v>113</v>
      </c>
      <c r="AL157" s="288">
        <f t="shared" si="438"/>
        <v>96</v>
      </c>
      <c r="AM157" s="288">
        <f t="shared" si="438"/>
        <v>97</v>
      </c>
      <c r="AN157" s="288">
        <f t="shared" si="439"/>
        <v>92</v>
      </c>
      <c r="AO157" s="288">
        <f t="shared" si="439"/>
        <v>66</v>
      </c>
      <c r="AP157" s="1140">
        <f t="shared" si="439"/>
        <v>66</v>
      </c>
      <c r="AQ157" s="288">
        <f t="shared" si="440"/>
        <v>26</v>
      </c>
      <c r="AR157" s="288">
        <f t="shared" si="440"/>
        <v>26</v>
      </c>
      <c r="AS157" s="288">
        <f t="shared" si="441"/>
        <v>29</v>
      </c>
      <c r="AT157" s="288">
        <f t="shared" si="441"/>
        <v>28</v>
      </c>
      <c r="AU157" s="1140">
        <f t="shared" si="441"/>
        <v>28</v>
      </c>
      <c r="AV157" s="288">
        <f t="shared" si="442"/>
        <v>30</v>
      </c>
      <c r="AW157" s="288">
        <f t="shared" si="442"/>
        <v>29</v>
      </c>
      <c r="AX157" s="288">
        <f t="shared" si="443"/>
        <v>30</v>
      </c>
      <c r="AY157" s="288">
        <f t="shared" si="443"/>
        <v>32</v>
      </c>
      <c r="AZ157" s="1140">
        <f t="shared" si="443"/>
        <v>32</v>
      </c>
      <c r="BA157" s="288">
        <f t="shared" si="444"/>
        <v>36</v>
      </c>
      <c r="BB157" s="288">
        <f t="shared" si="444"/>
        <v>38</v>
      </c>
      <c r="BC157" s="288">
        <f t="shared" si="445"/>
        <v>51</v>
      </c>
      <c r="BD157" s="288">
        <f t="shared" si="445"/>
        <v>57</v>
      </c>
      <c r="BE157" s="1140">
        <f t="shared" si="445"/>
        <v>57</v>
      </c>
      <c r="BF157" s="288">
        <f t="shared" si="446"/>
        <v>57</v>
      </c>
      <c r="BG157" s="288">
        <f t="shared" si="446"/>
        <v>65</v>
      </c>
      <c r="BH157" s="875">
        <f>BH534</f>
        <v>78</v>
      </c>
      <c r="BI157" s="171"/>
      <c r="BJ157" s="1133"/>
      <c r="BK157" s="171"/>
      <c r="BL157" s="171"/>
      <c r="BM157" s="171"/>
      <c r="BN157" s="171"/>
      <c r="BO157" s="1133"/>
      <c r="BP157" s="1131"/>
      <c r="BQ157" s="1131"/>
      <c r="BR157" s="1133"/>
      <c r="BS157" s="32"/>
    </row>
    <row r="158" spans="1:71" s="673" customFormat="1" ht="15" hidden="1" outlineLevel="2">
      <c r="A158" s="114" t="s">
        <v>122</v>
      </c>
      <c r="B158" s="480"/>
      <c r="C158" s="1140">
        <f t="shared" si="448" ref="C158:AK158">C535</f>
        <v>411</v>
      </c>
      <c r="D158" s="1140">
        <f t="shared" si="448"/>
        <v>690</v>
      </c>
      <c r="E158" s="1140">
        <f t="shared" si="448"/>
        <v>928</v>
      </c>
      <c r="F158" s="1140">
        <f t="shared" si="448"/>
        <v>939</v>
      </c>
      <c r="G158" s="1140">
        <f t="shared" si="448"/>
        <v>1123</v>
      </c>
      <c r="H158" s="288">
        <f t="shared" si="448"/>
        <v>1297</v>
      </c>
      <c r="I158" s="288">
        <f t="shared" si="448"/>
        <v>1473</v>
      </c>
      <c r="J158" s="288">
        <f t="shared" si="448"/>
        <v>1474</v>
      </c>
      <c r="K158" s="288">
        <f t="shared" si="448"/>
        <v>1501</v>
      </c>
      <c r="L158" s="1140">
        <f t="shared" si="448"/>
        <v>1501</v>
      </c>
      <c r="M158" s="288">
        <f t="shared" si="448"/>
        <v>1530</v>
      </c>
      <c r="N158" s="288">
        <f t="shared" si="448"/>
        <v>1535</v>
      </c>
      <c r="O158" s="288">
        <f t="shared" si="448"/>
        <v>1658</v>
      </c>
      <c r="P158" s="288">
        <f t="shared" si="448"/>
        <v>1553</v>
      </c>
      <c r="Q158" s="1140">
        <f t="shared" si="448"/>
        <v>1553</v>
      </c>
      <c r="R158" s="288">
        <f t="shared" si="448"/>
        <v>1536</v>
      </c>
      <c r="S158" s="288">
        <f t="shared" si="448"/>
        <v>1472</v>
      </c>
      <c r="T158" s="288">
        <f t="shared" si="448"/>
        <v>1553</v>
      </c>
      <c r="U158" s="288">
        <f t="shared" si="448"/>
        <v>1502</v>
      </c>
      <c r="V158" s="1140">
        <f t="shared" si="448"/>
        <v>1502</v>
      </c>
      <c r="W158" s="288">
        <f t="shared" si="448"/>
        <v>1579</v>
      </c>
      <c r="X158" s="288">
        <f t="shared" si="448"/>
        <v>1581</v>
      </c>
      <c r="Y158" s="288">
        <f t="shared" si="448"/>
        <v>1579</v>
      </c>
      <c r="Z158" s="288">
        <f t="shared" si="448"/>
        <v>1600</v>
      </c>
      <c r="AA158" s="1140">
        <f t="shared" si="448"/>
        <v>1600</v>
      </c>
      <c r="AB158" s="288">
        <f t="shared" si="448"/>
        <v>1786</v>
      </c>
      <c r="AC158" s="288">
        <f t="shared" si="448"/>
        <v>1777</v>
      </c>
      <c r="AD158" s="288">
        <f t="shared" si="448"/>
        <v>1827</v>
      </c>
      <c r="AE158" s="288">
        <f t="shared" si="448"/>
        <v>1814</v>
      </c>
      <c r="AF158" s="1140">
        <f t="shared" si="448"/>
        <v>1814</v>
      </c>
      <c r="AG158" s="288">
        <f t="shared" si="448"/>
        <v>1930</v>
      </c>
      <c r="AH158" s="288">
        <f t="shared" si="448"/>
        <v>1985</v>
      </c>
      <c r="AI158" s="288">
        <f t="shared" si="448"/>
        <v>2004</v>
      </c>
      <c r="AJ158" s="288">
        <f t="shared" si="448"/>
        <v>1937</v>
      </c>
      <c r="AK158" s="1140">
        <f t="shared" si="448"/>
        <v>1937</v>
      </c>
      <c r="AL158" s="288">
        <f t="shared" si="438"/>
        <v>1559</v>
      </c>
      <c r="AM158" s="288">
        <f t="shared" si="438"/>
        <v>1602</v>
      </c>
      <c r="AN158" s="288">
        <f t="shared" si="439"/>
        <v>1606</v>
      </c>
      <c r="AO158" s="288">
        <f t="shared" si="439"/>
        <v>1663</v>
      </c>
      <c r="AP158" s="1140">
        <f t="shared" si="439"/>
        <v>1663</v>
      </c>
      <c r="AQ158" s="288">
        <f t="shared" si="440"/>
        <v>944</v>
      </c>
      <c r="AR158" s="288">
        <f t="shared" si="440"/>
        <v>965</v>
      </c>
      <c r="AS158" s="288">
        <f t="shared" si="441"/>
        <v>993</v>
      </c>
      <c r="AT158" s="288">
        <f t="shared" si="441"/>
        <v>1042</v>
      </c>
      <c r="AU158" s="1140">
        <f t="shared" si="441"/>
        <v>1042</v>
      </c>
      <c r="AV158" s="288">
        <f t="shared" si="442"/>
        <v>1022</v>
      </c>
      <c r="AW158" s="288">
        <f t="shared" si="442"/>
        <v>1029</v>
      </c>
      <c r="AX158" s="288">
        <f t="shared" si="443"/>
        <v>996</v>
      </c>
      <c r="AY158" s="288">
        <f t="shared" si="443"/>
        <v>1010</v>
      </c>
      <c r="AZ158" s="1140">
        <f t="shared" si="443"/>
        <v>1010</v>
      </c>
      <c r="BA158" s="288">
        <f t="shared" si="444"/>
        <v>1008</v>
      </c>
      <c r="BB158" s="288">
        <f t="shared" si="444"/>
        <v>1048</v>
      </c>
      <c r="BC158" s="288">
        <f t="shared" si="445"/>
        <v>1007</v>
      </c>
      <c r="BD158" s="288">
        <f t="shared" si="445"/>
        <v>1018</v>
      </c>
      <c r="BE158" s="1140">
        <f t="shared" si="445"/>
        <v>1018</v>
      </c>
      <c r="BF158" s="288">
        <f t="shared" si="446"/>
        <v>1040</v>
      </c>
      <c r="BG158" s="288">
        <f t="shared" si="446"/>
        <v>1077</v>
      </c>
      <c r="BH158" s="875">
        <f>BH535</f>
        <v>1081</v>
      </c>
      <c r="BI158" s="171"/>
      <c r="BJ158" s="1133"/>
      <c r="BK158" s="171"/>
      <c r="BL158" s="171"/>
      <c r="BM158" s="171"/>
      <c r="BN158" s="171"/>
      <c r="BO158" s="1133"/>
      <c r="BP158" s="1131"/>
      <c r="BQ158" s="1131"/>
      <c r="BR158" s="1133"/>
      <c r="BS158" s="32"/>
    </row>
    <row r="159" spans="1:71" s="673" customFormat="1" ht="15" hidden="1" outlineLevel="2">
      <c r="A159" s="114" t="s">
        <v>123</v>
      </c>
      <c r="B159" s="480"/>
      <c r="C159" s="1140">
        <f t="shared" si="449" ref="C159:AK159">C537</f>
        <v>0</v>
      </c>
      <c r="D159" s="1140">
        <f t="shared" si="449"/>
        <v>0</v>
      </c>
      <c r="E159" s="1140">
        <f t="shared" si="449"/>
        <v>0</v>
      </c>
      <c r="F159" s="1140">
        <f t="shared" si="449"/>
        <v>0</v>
      </c>
      <c r="G159" s="1140">
        <f t="shared" si="449"/>
        <v>56</v>
      </c>
      <c r="H159" s="288">
        <f t="shared" si="449"/>
        <v>0</v>
      </c>
      <c r="I159" s="288">
        <f t="shared" si="449"/>
        <v>0</v>
      </c>
      <c r="J159" s="288">
        <f t="shared" si="449"/>
        <v>0</v>
      </c>
      <c r="K159" s="288">
        <f t="shared" si="449"/>
        <v>195</v>
      </c>
      <c r="L159" s="1140">
        <f t="shared" si="449"/>
        <v>195</v>
      </c>
      <c r="M159" s="288">
        <f t="shared" si="449"/>
        <v>180</v>
      </c>
      <c r="N159" s="288">
        <f t="shared" si="449"/>
        <v>169</v>
      </c>
      <c r="O159" s="288">
        <f t="shared" si="449"/>
        <v>173</v>
      </c>
      <c r="P159" s="288">
        <f t="shared" si="449"/>
        <v>166</v>
      </c>
      <c r="Q159" s="1140">
        <f t="shared" si="449"/>
        <v>166</v>
      </c>
      <c r="R159" s="288">
        <f t="shared" si="449"/>
        <v>112</v>
      </c>
      <c r="S159" s="288">
        <f t="shared" si="449"/>
        <v>86</v>
      </c>
      <c r="T159" s="288">
        <f t="shared" si="449"/>
        <v>86</v>
      </c>
      <c r="U159" s="288">
        <f t="shared" si="449"/>
        <v>56</v>
      </c>
      <c r="V159" s="1140">
        <f t="shared" si="449"/>
        <v>56</v>
      </c>
      <c r="W159" s="288">
        <f t="shared" si="449"/>
        <v>58</v>
      </c>
      <c r="X159" s="288">
        <f t="shared" si="449"/>
        <v>59</v>
      </c>
      <c r="Y159" s="288">
        <f t="shared" si="449"/>
        <v>60</v>
      </c>
      <c r="Z159" s="288">
        <f t="shared" si="449"/>
        <v>62</v>
      </c>
      <c r="AA159" s="1140">
        <f t="shared" si="449"/>
        <v>62</v>
      </c>
      <c r="AB159" s="288">
        <f t="shared" si="449"/>
        <v>0</v>
      </c>
      <c r="AC159" s="288">
        <f t="shared" si="449"/>
        <v>0</v>
      </c>
      <c r="AD159" s="288">
        <f t="shared" si="449"/>
        <v>0</v>
      </c>
      <c r="AE159" s="288">
        <f t="shared" si="449"/>
        <v>0</v>
      </c>
      <c r="AF159" s="1140">
        <f t="shared" si="449"/>
        <v>0</v>
      </c>
      <c r="AG159" s="288">
        <f t="shared" si="449"/>
        <v>0</v>
      </c>
      <c r="AH159" s="288">
        <f t="shared" si="449"/>
        <v>0</v>
      </c>
      <c r="AI159" s="288">
        <f t="shared" si="449"/>
        <v>0</v>
      </c>
      <c r="AJ159" s="288">
        <f t="shared" si="449"/>
        <v>0</v>
      </c>
      <c r="AK159" s="1140">
        <f t="shared" si="449"/>
        <v>0</v>
      </c>
      <c r="AL159" s="288">
        <f t="shared" si="450" ref="AL159:BA159">AL537</f>
        <v>0</v>
      </c>
      <c r="AM159" s="288">
        <f t="shared" si="450"/>
        <v>0</v>
      </c>
      <c r="AN159" s="288">
        <f t="shared" si="450"/>
        <v>0</v>
      </c>
      <c r="AO159" s="288">
        <f t="shared" si="450"/>
        <v>0</v>
      </c>
      <c r="AP159" s="1140">
        <f t="shared" si="450"/>
        <v>0</v>
      </c>
      <c r="AQ159" s="288">
        <f t="shared" si="450"/>
        <v>0</v>
      </c>
      <c r="AR159" s="288">
        <f t="shared" si="450"/>
        <v>0</v>
      </c>
      <c r="AS159" s="288">
        <f t="shared" si="450"/>
        <v>0</v>
      </c>
      <c r="AT159" s="288">
        <f t="shared" si="450"/>
        <v>0</v>
      </c>
      <c r="AU159" s="1140">
        <f t="shared" si="450"/>
        <v>0</v>
      </c>
      <c r="AV159" s="288">
        <f t="shared" si="450"/>
        <v>0</v>
      </c>
      <c r="AW159" s="288">
        <f t="shared" si="450"/>
        <v>0</v>
      </c>
      <c r="AX159" s="288">
        <f t="shared" si="450"/>
        <v>0</v>
      </c>
      <c r="AY159" s="288">
        <f t="shared" si="450"/>
        <v>0</v>
      </c>
      <c r="AZ159" s="1140">
        <f t="shared" si="450"/>
        <v>0</v>
      </c>
      <c r="BA159" s="288">
        <f t="shared" si="450"/>
        <v>0</v>
      </c>
      <c r="BB159" s="288">
        <f t="shared" si="451" ref="BB159:BG159">BB537</f>
        <v>0</v>
      </c>
      <c r="BC159" s="288">
        <f t="shared" si="451"/>
        <v>0</v>
      </c>
      <c r="BD159" s="288">
        <f t="shared" si="451"/>
        <v>0</v>
      </c>
      <c r="BE159" s="1140">
        <f t="shared" si="451"/>
        <v>0</v>
      </c>
      <c r="BF159" s="288">
        <f t="shared" si="451"/>
        <v>0</v>
      </c>
      <c r="BG159" s="288">
        <f t="shared" si="451"/>
        <v>0</v>
      </c>
      <c r="BH159" s="875">
        <f>BH537</f>
        <v>0</v>
      </c>
      <c r="BI159" s="171"/>
      <c r="BJ159" s="1133"/>
      <c r="BK159" s="171"/>
      <c r="BL159" s="171"/>
      <c r="BM159" s="171"/>
      <c r="BN159" s="171"/>
      <c r="BO159" s="1133"/>
      <c r="BP159" s="1131"/>
      <c r="BQ159" s="1131"/>
      <c r="BR159" s="1133"/>
      <c r="BS159" s="32"/>
    </row>
    <row r="160" spans="1:71" s="673" customFormat="1" ht="15" hidden="1" outlineLevel="2">
      <c r="A160" s="114" t="s">
        <v>583</v>
      </c>
      <c r="B160" s="480"/>
      <c r="C160" s="1140">
        <f t="shared" si="452" ref="C160:AZ160">C536</f>
        <v>0</v>
      </c>
      <c r="D160" s="1140">
        <f t="shared" si="452"/>
        <v>0</v>
      </c>
      <c r="E160" s="1140">
        <f t="shared" si="452"/>
        <v>0</v>
      </c>
      <c r="F160" s="1140">
        <f t="shared" si="452"/>
        <v>0</v>
      </c>
      <c r="G160" s="1140">
        <f t="shared" si="452"/>
        <v>0</v>
      </c>
      <c r="H160" s="288">
        <f t="shared" si="452"/>
        <v>0</v>
      </c>
      <c r="I160" s="288">
        <f t="shared" si="452"/>
        <v>0</v>
      </c>
      <c r="J160" s="288">
        <f t="shared" si="452"/>
        <v>0</v>
      </c>
      <c r="K160" s="288">
        <f t="shared" si="452"/>
        <v>0</v>
      </c>
      <c r="L160" s="1140">
        <f t="shared" si="452"/>
        <v>0</v>
      </c>
      <c r="M160" s="288">
        <f t="shared" si="452"/>
        <v>0</v>
      </c>
      <c r="N160" s="288">
        <f t="shared" si="452"/>
        <v>0</v>
      </c>
      <c r="O160" s="288">
        <f t="shared" si="452"/>
        <v>0</v>
      </c>
      <c r="P160" s="288">
        <f t="shared" si="452"/>
        <v>0</v>
      </c>
      <c r="Q160" s="1140">
        <f t="shared" si="452"/>
        <v>0</v>
      </c>
      <c r="R160" s="288">
        <f t="shared" si="452"/>
        <v>0</v>
      </c>
      <c r="S160" s="288">
        <f t="shared" si="452"/>
        <v>0</v>
      </c>
      <c r="T160" s="288">
        <f t="shared" si="452"/>
        <v>0</v>
      </c>
      <c r="U160" s="288">
        <f t="shared" si="452"/>
        <v>0</v>
      </c>
      <c r="V160" s="1140">
        <f t="shared" si="452"/>
        <v>0</v>
      </c>
      <c r="W160" s="288">
        <f t="shared" si="452"/>
        <v>0</v>
      </c>
      <c r="X160" s="288">
        <f t="shared" si="452"/>
        <v>0</v>
      </c>
      <c r="Y160" s="288">
        <f t="shared" si="452"/>
        <v>0</v>
      </c>
      <c r="Z160" s="288">
        <f t="shared" si="452"/>
        <v>0</v>
      </c>
      <c r="AA160" s="1140">
        <f t="shared" si="452"/>
        <v>0</v>
      </c>
      <c r="AB160" s="288">
        <f t="shared" si="452"/>
        <v>1097</v>
      </c>
      <c r="AC160" s="288">
        <f t="shared" si="452"/>
        <v>1194</v>
      </c>
      <c r="AD160" s="288">
        <f t="shared" si="452"/>
        <v>1289</v>
      </c>
      <c r="AE160" s="288">
        <f t="shared" si="452"/>
        <v>1374</v>
      </c>
      <c r="AF160" s="1140">
        <f t="shared" si="452"/>
        <v>1374</v>
      </c>
      <c r="AG160" s="288">
        <f t="shared" si="452"/>
        <v>1440</v>
      </c>
      <c r="AH160" s="288">
        <f t="shared" si="452"/>
        <v>1506</v>
      </c>
      <c r="AI160" s="288">
        <f t="shared" si="452"/>
        <v>1535</v>
      </c>
      <c r="AJ160" s="288">
        <f t="shared" si="452"/>
        <v>1688</v>
      </c>
      <c r="AK160" s="1140">
        <f t="shared" si="452"/>
        <v>1688</v>
      </c>
      <c r="AL160" s="288">
        <f t="shared" si="452"/>
        <v>1763</v>
      </c>
      <c r="AM160" s="288">
        <f t="shared" si="452"/>
        <v>1781</v>
      </c>
      <c r="AN160" s="288">
        <f t="shared" si="452"/>
        <v>1841</v>
      </c>
      <c r="AO160" s="288">
        <f t="shared" si="452"/>
        <v>1881</v>
      </c>
      <c r="AP160" s="1140">
        <f t="shared" si="452"/>
        <v>1881</v>
      </c>
      <c r="AQ160" s="288">
        <f t="shared" si="452"/>
        <v>1324</v>
      </c>
      <c r="AR160" s="288">
        <f t="shared" si="452"/>
        <v>1378</v>
      </c>
      <c r="AS160" s="288">
        <f t="shared" si="452"/>
        <v>1407</v>
      </c>
      <c r="AT160" s="288">
        <f t="shared" si="452"/>
        <v>1517</v>
      </c>
      <c r="AU160" s="1140">
        <f t="shared" si="452"/>
        <v>1517</v>
      </c>
      <c r="AV160" s="288">
        <f t="shared" si="452"/>
        <v>1619</v>
      </c>
      <c r="AW160" s="288">
        <f t="shared" si="452"/>
        <v>1626</v>
      </c>
      <c r="AX160" s="288">
        <f t="shared" si="452"/>
        <v>1661</v>
      </c>
      <c r="AY160" s="288">
        <f t="shared" si="452"/>
        <v>1700</v>
      </c>
      <c r="AZ160" s="1140">
        <f t="shared" si="452"/>
        <v>1700</v>
      </c>
      <c r="BA160" s="288">
        <f t="shared" si="453" ref="BA160:BF160">BA536</f>
        <v>1733</v>
      </c>
      <c r="BB160" s="288">
        <f t="shared" si="453"/>
        <v>1756</v>
      </c>
      <c r="BC160" s="288">
        <f t="shared" si="453"/>
        <v>1807</v>
      </c>
      <c r="BD160" s="288">
        <f t="shared" si="453"/>
        <v>1814</v>
      </c>
      <c r="BE160" s="1140">
        <f t="shared" si="453"/>
        <v>1814</v>
      </c>
      <c r="BF160" s="288">
        <f t="shared" si="453"/>
        <v>1848</v>
      </c>
      <c r="BG160" s="288">
        <f>BG536</f>
        <v>1882</v>
      </c>
      <c r="BH160" s="875">
        <f>BH536</f>
        <v>1911</v>
      </c>
      <c r="BI160" s="171"/>
      <c r="BJ160" s="1133"/>
      <c r="BK160" s="171"/>
      <c r="BL160" s="171"/>
      <c r="BM160" s="171"/>
      <c r="BN160" s="171"/>
      <c r="BO160" s="1133"/>
      <c r="BP160" s="1131"/>
      <c r="BQ160" s="1131"/>
      <c r="BR160" s="1133"/>
      <c r="BS160" s="32"/>
    </row>
    <row r="161" spans="1:71" s="673" customFormat="1" ht="15" hidden="1" outlineLevel="2">
      <c r="A161" s="114" t="s">
        <v>124</v>
      </c>
      <c r="B161" s="480"/>
      <c r="C161" s="1140">
        <f t="shared" si="454" ref="C161:AK161">C538</f>
        <v>376</v>
      </c>
      <c r="D161" s="1140">
        <f t="shared" si="454"/>
        <v>468</v>
      </c>
      <c r="E161" s="1140">
        <f t="shared" si="454"/>
        <v>401</v>
      </c>
      <c r="F161" s="1140">
        <f t="shared" si="454"/>
        <v>607</v>
      </c>
      <c r="G161" s="1140">
        <f t="shared" si="454"/>
        <v>781</v>
      </c>
      <c r="H161" s="288">
        <f t="shared" si="454"/>
        <v>888</v>
      </c>
      <c r="I161" s="288">
        <f t="shared" si="454"/>
        <v>920</v>
      </c>
      <c r="J161" s="288">
        <f t="shared" si="454"/>
        <v>1064</v>
      </c>
      <c r="K161" s="288">
        <f t="shared" si="454"/>
        <v>1117</v>
      </c>
      <c r="L161" s="1140">
        <f t="shared" si="454"/>
        <v>1117</v>
      </c>
      <c r="M161" s="288">
        <f t="shared" si="454"/>
        <v>1091</v>
      </c>
      <c r="N161" s="288">
        <f t="shared" si="454"/>
        <v>1054</v>
      </c>
      <c r="O161" s="288">
        <f t="shared" si="454"/>
        <v>994</v>
      </c>
      <c r="P161" s="288">
        <f t="shared" si="454"/>
        <v>1067</v>
      </c>
      <c r="Q161" s="1140">
        <f t="shared" si="454"/>
        <v>1067</v>
      </c>
      <c r="R161" s="288">
        <f t="shared" si="454"/>
        <v>1097</v>
      </c>
      <c r="S161" s="288">
        <f t="shared" si="454"/>
        <v>1159</v>
      </c>
      <c r="T161" s="288">
        <f t="shared" si="454"/>
        <v>1180</v>
      </c>
      <c r="U161" s="288">
        <f t="shared" si="454"/>
        <v>1147</v>
      </c>
      <c r="V161" s="1140">
        <f t="shared" si="454"/>
        <v>1147</v>
      </c>
      <c r="W161" s="288">
        <f t="shared" si="454"/>
        <v>1159</v>
      </c>
      <c r="X161" s="288">
        <f t="shared" si="454"/>
        <v>1184</v>
      </c>
      <c r="Y161" s="288">
        <f t="shared" si="454"/>
        <v>1043</v>
      </c>
      <c r="Z161" s="288">
        <f t="shared" si="454"/>
        <v>1125</v>
      </c>
      <c r="AA161" s="1140">
        <f t="shared" si="454"/>
        <v>1125</v>
      </c>
      <c r="AB161" s="288">
        <f t="shared" si="454"/>
        <v>1082</v>
      </c>
      <c r="AC161" s="288">
        <f t="shared" si="454"/>
        <v>1147</v>
      </c>
      <c r="AD161" s="288">
        <f t="shared" si="454"/>
        <v>1152</v>
      </c>
      <c r="AE161" s="288">
        <f t="shared" si="454"/>
        <v>1068</v>
      </c>
      <c r="AF161" s="1140">
        <f t="shared" si="454"/>
        <v>1068</v>
      </c>
      <c r="AG161" s="288">
        <f t="shared" si="454"/>
        <v>1078</v>
      </c>
      <c r="AH161" s="288">
        <f t="shared" si="454"/>
        <v>1073</v>
      </c>
      <c r="AI161" s="288">
        <f t="shared" si="454"/>
        <v>1174</v>
      </c>
      <c r="AJ161" s="288">
        <f t="shared" si="454"/>
        <v>1329</v>
      </c>
      <c r="AK161" s="1140">
        <f t="shared" si="454"/>
        <v>1329</v>
      </c>
      <c r="AL161" s="288">
        <f t="shared" si="455" ref="AL161:AM164">AL538</f>
        <v>1346</v>
      </c>
      <c r="AM161" s="288">
        <f t="shared" si="455"/>
        <v>1475</v>
      </c>
      <c r="AN161" s="288">
        <f t="shared" si="456" ref="AN161:AP164">AN538</f>
        <v>1482</v>
      </c>
      <c r="AO161" s="288">
        <f t="shared" si="456"/>
        <v>1623</v>
      </c>
      <c r="AP161" s="1140">
        <f t="shared" si="456"/>
        <v>1623</v>
      </c>
      <c r="AQ161" s="288">
        <f t="shared" si="457" ref="AQ161:AR164">AQ538</f>
        <v>408</v>
      </c>
      <c r="AR161" s="288">
        <f t="shared" si="457"/>
        <v>461</v>
      </c>
      <c r="AS161" s="288">
        <f t="shared" si="458" ref="AS161:AU164">AS538</f>
        <v>537</v>
      </c>
      <c r="AT161" s="288">
        <f t="shared" si="458"/>
        <v>520</v>
      </c>
      <c r="AU161" s="1140">
        <f t="shared" si="458"/>
        <v>520</v>
      </c>
      <c r="AV161" s="288">
        <f t="shared" si="459" ref="AV161:AW164">AV538</f>
        <v>784</v>
      </c>
      <c r="AW161" s="288">
        <f t="shared" si="459"/>
        <v>692</v>
      </c>
      <c r="AX161" s="288">
        <f t="shared" si="460" ref="AX161:AZ164">AX538</f>
        <v>676</v>
      </c>
      <c r="AY161" s="288">
        <f t="shared" si="460"/>
        <v>676</v>
      </c>
      <c r="AZ161" s="1140">
        <f t="shared" si="460"/>
        <v>676</v>
      </c>
      <c r="BA161" s="288">
        <f t="shared" si="461" ref="BA161:BB164">BA538</f>
        <v>646</v>
      </c>
      <c r="BB161" s="288">
        <f t="shared" si="461"/>
        <v>645</v>
      </c>
      <c r="BC161" s="288">
        <f t="shared" si="462" ref="BC161:BE164">BC538</f>
        <v>644</v>
      </c>
      <c r="BD161" s="288">
        <f t="shared" si="462"/>
        <v>643</v>
      </c>
      <c r="BE161" s="1140">
        <f t="shared" si="462"/>
        <v>643</v>
      </c>
      <c r="BF161" s="288">
        <f t="shared" si="463" ref="BF161:BG164">BF538</f>
        <v>722</v>
      </c>
      <c r="BG161" s="288">
        <f t="shared" si="463"/>
        <v>773</v>
      </c>
      <c r="BH161" s="875">
        <f>BH538</f>
        <v>765</v>
      </c>
      <c r="BI161" s="171"/>
      <c r="BJ161" s="1133"/>
      <c r="BK161" s="171"/>
      <c r="BL161" s="171"/>
      <c r="BM161" s="171"/>
      <c r="BN161" s="171"/>
      <c r="BO161" s="1133"/>
      <c r="BP161" s="1131"/>
      <c r="BQ161" s="1131"/>
      <c r="BR161" s="1133"/>
      <c r="BS161" s="32"/>
    </row>
    <row r="162" spans="1:71" s="673" customFormat="1" ht="15" hidden="1" outlineLevel="2">
      <c r="A162" s="114" t="s">
        <v>125</v>
      </c>
      <c r="B162" s="480"/>
      <c r="C162" s="1140">
        <f t="shared" si="464" ref="C162:AK162">C539</f>
        <v>276</v>
      </c>
      <c r="D162" s="1140">
        <f t="shared" si="464"/>
        <v>264</v>
      </c>
      <c r="E162" s="1140">
        <f t="shared" si="464"/>
        <v>252</v>
      </c>
      <c r="F162" s="1140">
        <f t="shared" si="464"/>
        <v>228</v>
      </c>
      <c r="G162" s="1140">
        <f t="shared" si="464"/>
        <v>238</v>
      </c>
      <c r="H162" s="288">
        <f t="shared" si="464"/>
        <v>235</v>
      </c>
      <c r="I162" s="288">
        <f t="shared" si="464"/>
        <v>233</v>
      </c>
      <c r="J162" s="288">
        <f t="shared" si="464"/>
        <v>230</v>
      </c>
      <c r="K162" s="288">
        <f t="shared" si="464"/>
        <v>228</v>
      </c>
      <c r="L162" s="1140">
        <f t="shared" si="464"/>
        <v>228</v>
      </c>
      <c r="M162" s="288">
        <f t="shared" si="464"/>
        <v>226</v>
      </c>
      <c r="N162" s="288">
        <f t="shared" si="464"/>
        <v>223</v>
      </c>
      <c r="O162" s="288">
        <f t="shared" si="464"/>
        <v>221</v>
      </c>
      <c r="P162" s="288">
        <f t="shared" si="464"/>
        <v>201</v>
      </c>
      <c r="Q162" s="1140">
        <f t="shared" si="464"/>
        <v>201</v>
      </c>
      <c r="R162" s="288">
        <f t="shared" si="464"/>
        <v>198</v>
      </c>
      <c r="S162" s="288">
        <f t="shared" si="464"/>
        <v>195</v>
      </c>
      <c r="T162" s="288">
        <f t="shared" si="464"/>
        <v>194</v>
      </c>
      <c r="U162" s="288">
        <f t="shared" si="464"/>
        <v>192</v>
      </c>
      <c r="V162" s="1140">
        <f t="shared" si="464"/>
        <v>192</v>
      </c>
      <c r="W162" s="288">
        <f t="shared" si="464"/>
        <v>190</v>
      </c>
      <c r="X162" s="288">
        <f t="shared" si="464"/>
        <v>188</v>
      </c>
      <c r="Y162" s="288">
        <f t="shared" si="464"/>
        <v>186</v>
      </c>
      <c r="Z162" s="288">
        <f t="shared" si="464"/>
        <v>184</v>
      </c>
      <c r="AA162" s="1140">
        <f t="shared" si="464"/>
        <v>184</v>
      </c>
      <c r="AB162" s="288">
        <f t="shared" si="464"/>
        <v>181</v>
      </c>
      <c r="AC162" s="288">
        <f t="shared" si="464"/>
        <v>179</v>
      </c>
      <c r="AD162" s="288">
        <f t="shared" si="464"/>
        <v>176</v>
      </c>
      <c r="AE162" s="288">
        <f t="shared" si="464"/>
        <v>174</v>
      </c>
      <c r="AF162" s="1140">
        <f t="shared" si="464"/>
        <v>174</v>
      </c>
      <c r="AG162" s="288">
        <f t="shared" si="464"/>
        <v>172</v>
      </c>
      <c r="AH162" s="288">
        <f t="shared" si="464"/>
        <v>170</v>
      </c>
      <c r="AI162" s="288">
        <f t="shared" si="464"/>
        <v>166</v>
      </c>
      <c r="AJ162" s="288">
        <f t="shared" si="464"/>
        <v>164</v>
      </c>
      <c r="AK162" s="1140">
        <f t="shared" si="464"/>
        <v>164</v>
      </c>
      <c r="AL162" s="288">
        <f t="shared" si="455"/>
        <v>161</v>
      </c>
      <c r="AM162" s="288">
        <f t="shared" si="455"/>
        <v>158</v>
      </c>
      <c r="AN162" s="288">
        <f t="shared" si="456"/>
        <v>154</v>
      </c>
      <c r="AO162" s="288">
        <f t="shared" si="456"/>
        <v>151</v>
      </c>
      <c r="AP162" s="1140">
        <f t="shared" si="456"/>
        <v>151</v>
      </c>
      <c r="AQ162" s="288">
        <f t="shared" si="457"/>
        <v>0</v>
      </c>
      <c r="AR162" s="288">
        <f t="shared" si="457"/>
        <v>0</v>
      </c>
      <c r="AS162" s="288">
        <f t="shared" si="458"/>
        <v>0</v>
      </c>
      <c r="AT162" s="288">
        <f t="shared" si="458"/>
        <v>0</v>
      </c>
      <c r="AU162" s="1140">
        <f t="shared" si="458"/>
        <v>0</v>
      </c>
      <c r="AV162" s="288">
        <f t="shared" si="459"/>
        <v>0</v>
      </c>
      <c r="AW162" s="288">
        <f t="shared" si="459"/>
        <v>0</v>
      </c>
      <c r="AX162" s="288">
        <f t="shared" si="460"/>
        <v>0</v>
      </c>
      <c r="AY162" s="288">
        <f t="shared" si="460"/>
        <v>0</v>
      </c>
      <c r="AZ162" s="1140">
        <f t="shared" si="460"/>
        <v>0</v>
      </c>
      <c r="BA162" s="288">
        <f t="shared" si="461"/>
        <v>0</v>
      </c>
      <c r="BB162" s="288">
        <f t="shared" si="461"/>
        <v>0</v>
      </c>
      <c r="BC162" s="288">
        <f t="shared" si="462"/>
        <v>0</v>
      </c>
      <c r="BD162" s="288">
        <f t="shared" si="462"/>
        <v>0</v>
      </c>
      <c r="BE162" s="1140">
        <f t="shared" si="462"/>
        <v>0</v>
      </c>
      <c r="BF162" s="288">
        <f t="shared" si="463"/>
        <v>0</v>
      </c>
      <c r="BG162" s="288">
        <f t="shared" si="463"/>
        <v>0</v>
      </c>
      <c r="BH162" s="875">
        <f>BH539</f>
        <v>0</v>
      </c>
      <c r="BI162" s="171"/>
      <c r="BJ162" s="1133"/>
      <c r="BK162" s="171"/>
      <c r="BL162" s="171"/>
      <c r="BM162" s="171"/>
      <c r="BN162" s="171"/>
      <c r="BO162" s="1133"/>
      <c r="BP162" s="1131"/>
      <c r="BQ162" s="1131"/>
      <c r="BR162" s="1133"/>
      <c r="BS162" s="32"/>
    </row>
    <row r="163" spans="1:71" s="673" customFormat="1" ht="15" hidden="1" outlineLevel="2">
      <c r="A163" s="114" t="s">
        <v>126</v>
      </c>
      <c r="B163" s="480"/>
      <c r="C163" s="1140">
        <f t="shared" si="465" ref="C163:AK163">C540</f>
        <v>0</v>
      </c>
      <c r="D163" s="1140">
        <f t="shared" si="465"/>
        <v>0</v>
      </c>
      <c r="E163" s="1140">
        <f t="shared" si="465"/>
        <v>0</v>
      </c>
      <c r="F163" s="1140">
        <f t="shared" si="465"/>
        <v>0</v>
      </c>
      <c r="G163" s="1140">
        <f t="shared" si="465"/>
        <v>0</v>
      </c>
      <c r="H163" s="288">
        <f t="shared" si="465"/>
        <v>0</v>
      </c>
      <c r="I163" s="288">
        <f t="shared" si="465"/>
        <v>0</v>
      </c>
      <c r="J163" s="288">
        <f t="shared" si="465"/>
        <v>0</v>
      </c>
      <c r="K163" s="288">
        <f t="shared" si="465"/>
        <v>0</v>
      </c>
      <c r="L163" s="1140">
        <f t="shared" si="465"/>
        <v>0</v>
      </c>
      <c r="M163" s="288">
        <f t="shared" si="465"/>
        <v>0</v>
      </c>
      <c r="N163" s="288">
        <f t="shared" si="465"/>
        <v>0</v>
      </c>
      <c r="O163" s="288">
        <f t="shared" si="465"/>
        <v>0</v>
      </c>
      <c r="P163" s="288">
        <f t="shared" si="465"/>
        <v>241</v>
      </c>
      <c r="Q163" s="1140">
        <f t="shared" si="465"/>
        <v>241</v>
      </c>
      <c r="R163" s="288">
        <f t="shared" si="465"/>
        <v>0</v>
      </c>
      <c r="S163" s="288">
        <f t="shared" si="465"/>
        <v>0</v>
      </c>
      <c r="T163" s="288">
        <f t="shared" si="465"/>
        <v>0</v>
      </c>
      <c r="U163" s="288">
        <f t="shared" si="465"/>
        <v>492</v>
      </c>
      <c r="V163" s="1140">
        <f t="shared" si="465"/>
        <v>492</v>
      </c>
      <c r="W163" s="288">
        <f t="shared" si="465"/>
        <v>573</v>
      </c>
      <c r="X163" s="288">
        <f t="shared" si="465"/>
        <v>589</v>
      </c>
      <c r="Y163" s="288">
        <f t="shared" si="465"/>
        <v>629</v>
      </c>
      <c r="Z163" s="288">
        <f t="shared" si="465"/>
        <v>701</v>
      </c>
      <c r="AA163" s="1140">
        <f t="shared" si="465"/>
        <v>701</v>
      </c>
      <c r="AB163" s="288">
        <f t="shared" si="465"/>
        <v>591</v>
      </c>
      <c r="AC163" s="288">
        <f t="shared" si="465"/>
        <v>615</v>
      </c>
      <c r="AD163" s="288">
        <f t="shared" si="465"/>
        <v>759</v>
      </c>
      <c r="AE163" s="288">
        <f t="shared" si="465"/>
        <v>184</v>
      </c>
      <c r="AF163" s="1140">
        <f t="shared" si="465"/>
        <v>184</v>
      </c>
      <c r="AG163" s="288">
        <f t="shared" si="465"/>
        <v>620</v>
      </c>
      <c r="AH163" s="288">
        <f t="shared" si="465"/>
        <v>712</v>
      </c>
      <c r="AI163" s="288">
        <f t="shared" si="465"/>
        <v>750</v>
      </c>
      <c r="AJ163" s="288">
        <f t="shared" si="465"/>
        <v>924</v>
      </c>
      <c r="AK163" s="1140">
        <f t="shared" si="465"/>
        <v>924</v>
      </c>
      <c r="AL163" s="288">
        <f t="shared" si="455"/>
        <v>209</v>
      </c>
      <c r="AM163" s="288">
        <f t="shared" si="455"/>
        <v>605</v>
      </c>
      <c r="AN163" s="288">
        <f t="shared" si="456"/>
        <v>697</v>
      </c>
      <c r="AO163" s="288">
        <f t="shared" si="456"/>
        <v>825</v>
      </c>
      <c r="AP163" s="1140">
        <f t="shared" si="456"/>
        <v>825</v>
      </c>
      <c r="AQ163" s="288">
        <f t="shared" si="457"/>
        <v>0</v>
      </c>
      <c r="AR163" s="288">
        <f t="shared" si="457"/>
        <v>0</v>
      </c>
      <c r="AS163" s="288">
        <f t="shared" si="458"/>
        <v>0</v>
      </c>
      <c r="AT163" s="288">
        <f t="shared" si="458"/>
        <v>0</v>
      </c>
      <c r="AU163" s="1140">
        <f t="shared" si="458"/>
        <v>0</v>
      </c>
      <c r="AV163" s="288">
        <f t="shared" si="459"/>
        <v>0</v>
      </c>
      <c r="AW163" s="288">
        <f t="shared" si="459"/>
        <v>0</v>
      </c>
      <c r="AX163" s="288">
        <f t="shared" si="460"/>
        <v>0</v>
      </c>
      <c r="AY163" s="288">
        <f t="shared" si="460"/>
        <v>0</v>
      </c>
      <c r="AZ163" s="1140">
        <f t="shared" si="460"/>
        <v>0</v>
      </c>
      <c r="BA163" s="288">
        <f t="shared" si="461"/>
        <v>0</v>
      </c>
      <c r="BB163" s="288">
        <f t="shared" si="461"/>
        <v>0</v>
      </c>
      <c r="BC163" s="288">
        <f t="shared" si="462"/>
        <v>0</v>
      </c>
      <c r="BD163" s="288">
        <f t="shared" si="462"/>
        <v>0</v>
      </c>
      <c r="BE163" s="1140">
        <f t="shared" si="462"/>
        <v>0</v>
      </c>
      <c r="BF163" s="288">
        <f t="shared" si="463"/>
        <v>0</v>
      </c>
      <c r="BG163" s="288">
        <f t="shared" si="463"/>
        <v>0</v>
      </c>
      <c r="BH163" s="875">
        <f>BH540</f>
        <v>0</v>
      </c>
      <c r="BI163" s="171"/>
      <c r="BJ163" s="1133"/>
      <c r="BK163" s="171"/>
      <c r="BL163" s="171"/>
      <c r="BM163" s="171"/>
      <c r="BN163" s="171"/>
      <c r="BO163" s="1133"/>
      <c r="BP163" s="1131"/>
      <c r="BQ163" s="1131"/>
      <c r="BR163" s="1133"/>
      <c r="BS163" s="32"/>
    </row>
    <row r="164" spans="1:71" s="673" customFormat="1" ht="15" hidden="1" outlineLevel="2">
      <c r="A164" s="115" t="s">
        <v>127</v>
      </c>
      <c r="B164" s="481"/>
      <c r="C164" s="1141">
        <f t="shared" si="466" ref="C164:AK164">C541</f>
        <v>413</v>
      </c>
      <c r="D164" s="1141">
        <f t="shared" si="466"/>
        <v>428</v>
      </c>
      <c r="E164" s="1141">
        <f t="shared" si="466"/>
        <v>425</v>
      </c>
      <c r="F164" s="1141">
        <f t="shared" si="466"/>
        <v>531</v>
      </c>
      <c r="G164" s="1141">
        <f t="shared" si="466"/>
        <v>715</v>
      </c>
      <c r="H164" s="39">
        <f t="shared" si="466"/>
        <v>744</v>
      </c>
      <c r="I164" s="39">
        <f t="shared" si="466"/>
        <v>770</v>
      </c>
      <c r="J164" s="39">
        <f t="shared" si="466"/>
        <v>766</v>
      </c>
      <c r="K164" s="39">
        <f t="shared" si="466"/>
        <v>826</v>
      </c>
      <c r="L164" s="1141">
        <f t="shared" si="466"/>
        <v>826</v>
      </c>
      <c r="M164" s="39">
        <f t="shared" si="466"/>
        <v>904</v>
      </c>
      <c r="N164" s="39">
        <f t="shared" si="466"/>
        <v>908</v>
      </c>
      <c r="O164" s="39">
        <f t="shared" si="466"/>
        <v>809</v>
      </c>
      <c r="P164" s="39">
        <f t="shared" si="466"/>
        <v>750</v>
      </c>
      <c r="Q164" s="1141">
        <f t="shared" si="466"/>
        <v>750</v>
      </c>
      <c r="R164" s="39">
        <f t="shared" si="466"/>
        <v>1093</v>
      </c>
      <c r="S164" s="39">
        <f t="shared" si="466"/>
        <v>1270</v>
      </c>
      <c r="T164" s="39">
        <f t="shared" si="466"/>
        <v>1411</v>
      </c>
      <c r="U164" s="39">
        <f t="shared" si="466"/>
        <v>1034</v>
      </c>
      <c r="V164" s="1141">
        <f t="shared" si="466"/>
        <v>1034</v>
      </c>
      <c r="W164" s="39">
        <f t="shared" si="466"/>
        <v>1086</v>
      </c>
      <c r="X164" s="39">
        <f t="shared" si="466"/>
        <v>1128</v>
      </c>
      <c r="Y164" s="39">
        <f t="shared" si="466"/>
        <v>1239</v>
      </c>
      <c r="Z164" s="39">
        <f t="shared" si="466"/>
        <v>1311</v>
      </c>
      <c r="AA164" s="1141">
        <f t="shared" si="466"/>
        <v>1311</v>
      </c>
      <c r="AB164" s="39">
        <f t="shared" si="466"/>
        <v>268</v>
      </c>
      <c r="AC164" s="39">
        <f t="shared" si="466"/>
        <v>272</v>
      </c>
      <c r="AD164" s="39">
        <f t="shared" si="466"/>
        <v>282</v>
      </c>
      <c r="AE164" s="39">
        <f t="shared" si="466"/>
        <v>267</v>
      </c>
      <c r="AF164" s="1141">
        <f t="shared" si="466"/>
        <v>267</v>
      </c>
      <c r="AG164" s="39">
        <f t="shared" si="466"/>
        <v>262</v>
      </c>
      <c r="AH164" s="39">
        <f t="shared" si="466"/>
        <v>271</v>
      </c>
      <c r="AI164" s="39">
        <f t="shared" si="466"/>
        <v>274</v>
      </c>
      <c r="AJ164" s="39">
        <f t="shared" si="466"/>
        <v>278</v>
      </c>
      <c r="AK164" s="1141">
        <f t="shared" si="466"/>
        <v>278</v>
      </c>
      <c r="AL164" s="39">
        <f t="shared" si="455"/>
        <v>280</v>
      </c>
      <c r="AM164" s="39">
        <f t="shared" si="455"/>
        <v>279</v>
      </c>
      <c r="AN164" s="39">
        <f t="shared" si="456"/>
        <v>275</v>
      </c>
      <c r="AO164" s="39">
        <f t="shared" si="456"/>
        <v>276</v>
      </c>
      <c r="AP164" s="1141">
        <f t="shared" si="456"/>
        <v>276</v>
      </c>
      <c r="AQ164" s="39">
        <f t="shared" si="457"/>
        <v>218</v>
      </c>
      <c r="AR164" s="39">
        <f t="shared" si="457"/>
        <v>198</v>
      </c>
      <c r="AS164" s="39">
        <f t="shared" si="458"/>
        <v>161</v>
      </c>
      <c r="AT164" s="39">
        <f t="shared" si="458"/>
        <v>150</v>
      </c>
      <c r="AU164" s="1141">
        <f t="shared" si="458"/>
        <v>150</v>
      </c>
      <c r="AV164" s="39">
        <f t="shared" si="459"/>
        <v>156</v>
      </c>
      <c r="AW164" s="39">
        <f t="shared" si="459"/>
        <v>132</v>
      </c>
      <c r="AX164" s="39">
        <f t="shared" si="460"/>
        <v>131</v>
      </c>
      <c r="AY164" s="39">
        <f t="shared" si="460"/>
        <v>127</v>
      </c>
      <c r="AZ164" s="1141">
        <f t="shared" si="460"/>
        <v>127</v>
      </c>
      <c r="BA164" s="39">
        <f t="shared" si="461"/>
        <v>127</v>
      </c>
      <c r="BB164" s="39">
        <f t="shared" si="461"/>
        <v>129</v>
      </c>
      <c r="BC164" s="39">
        <f t="shared" si="462"/>
        <v>133</v>
      </c>
      <c r="BD164" s="39">
        <f t="shared" si="462"/>
        <v>129</v>
      </c>
      <c r="BE164" s="1141">
        <f t="shared" si="462"/>
        <v>129</v>
      </c>
      <c r="BF164" s="39">
        <f t="shared" si="463"/>
        <v>129</v>
      </c>
      <c r="BG164" s="39">
        <f t="shared" si="463"/>
        <v>147</v>
      </c>
      <c r="BH164" s="876">
        <f>BH541</f>
        <v>149</v>
      </c>
      <c r="BI164" s="363"/>
      <c r="BJ164" s="1134"/>
      <c r="BK164" s="363"/>
      <c r="BL164" s="363"/>
      <c r="BM164" s="363"/>
      <c r="BN164" s="363"/>
      <c r="BO164" s="1134"/>
      <c r="BP164" s="1134"/>
      <c r="BQ164" s="1134"/>
      <c r="BR164" s="1134"/>
      <c r="BS164" s="32"/>
    </row>
    <row r="165" spans="1:71" s="674" customFormat="1" ht="15" hidden="1" outlineLevel="2">
      <c r="A165" s="101" t="s">
        <v>128</v>
      </c>
      <c r="B165" s="486"/>
      <c r="C165" s="1180">
        <f t="shared" si="467" ref="C165:AK165">SUM(C156:C164)</f>
        <v>18671</v>
      </c>
      <c r="D165" s="1180">
        <f t="shared" si="467"/>
        <v>21571</v>
      </c>
      <c r="E165" s="1180">
        <f t="shared" si="467"/>
        <v>24253</v>
      </c>
      <c r="F165" s="1180">
        <f t="shared" si="467"/>
        <v>26744</v>
      </c>
      <c r="G165" s="1180">
        <f t="shared" si="467"/>
        <v>29674</v>
      </c>
      <c r="H165" s="287">
        <f t="shared" si="467"/>
        <v>30851</v>
      </c>
      <c r="I165" s="287">
        <f t="shared" si="467"/>
        <v>32727</v>
      </c>
      <c r="J165" s="287">
        <f t="shared" si="467"/>
        <v>33841</v>
      </c>
      <c r="K165" s="287">
        <f t="shared" si="467"/>
        <v>34867</v>
      </c>
      <c r="L165" s="1180">
        <f t="shared" si="467"/>
        <v>34867</v>
      </c>
      <c r="M165" s="287">
        <f t="shared" si="467"/>
        <v>36172</v>
      </c>
      <c r="N165" s="287">
        <f t="shared" si="467"/>
        <v>36428</v>
      </c>
      <c r="O165" s="287">
        <f t="shared" si="467"/>
        <v>37238</v>
      </c>
      <c r="P165" s="287">
        <f t="shared" si="467"/>
        <v>36516</v>
      </c>
      <c r="Q165" s="1180">
        <f t="shared" si="467"/>
        <v>36516</v>
      </c>
      <c r="R165" s="287">
        <f t="shared" si="467"/>
        <v>38206</v>
      </c>
      <c r="S165" s="287">
        <f t="shared" si="467"/>
        <v>39091</v>
      </c>
      <c r="T165" s="287">
        <f t="shared" si="467"/>
        <v>40166</v>
      </c>
      <c r="U165" s="287">
        <f t="shared" si="467"/>
        <v>39326</v>
      </c>
      <c r="V165" s="1180">
        <f t="shared" si="467"/>
        <v>39326</v>
      </c>
      <c r="W165" s="287">
        <f t="shared" si="467"/>
        <v>41460</v>
      </c>
      <c r="X165" s="287">
        <f t="shared" si="467"/>
        <v>42572</v>
      </c>
      <c r="Y165" s="287">
        <f t="shared" si="467"/>
        <v>42904</v>
      </c>
      <c r="Z165" s="287">
        <f t="shared" si="467"/>
        <v>43710</v>
      </c>
      <c r="AA165" s="1180">
        <f t="shared" si="467"/>
        <v>43710</v>
      </c>
      <c r="AB165" s="287">
        <f t="shared" si="467"/>
        <v>44290</v>
      </c>
      <c r="AC165" s="287">
        <f t="shared" si="467"/>
        <v>44969</v>
      </c>
      <c r="AD165" s="287">
        <f t="shared" si="467"/>
        <v>45832</v>
      </c>
      <c r="AE165" s="287">
        <f t="shared" si="467"/>
        <v>46983</v>
      </c>
      <c r="AF165" s="1180">
        <f t="shared" si="467"/>
        <v>46983</v>
      </c>
      <c r="AG165" s="287">
        <f t="shared" si="467"/>
        <v>49040</v>
      </c>
      <c r="AH165" s="287">
        <f t="shared" si="467"/>
        <v>50533</v>
      </c>
      <c r="AI165" s="287">
        <f t="shared" si="467"/>
        <v>51514</v>
      </c>
      <c r="AJ165" s="287">
        <f t="shared" si="467"/>
        <v>52938</v>
      </c>
      <c r="AK165" s="1180">
        <f t="shared" si="467"/>
        <v>52938</v>
      </c>
      <c r="AL165" s="287">
        <f t="shared" si="468" ref="AL165:AQ165">SUM(AL156:AL164)</f>
        <v>51548</v>
      </c>
      <c r="AM165" s="287">
        <f t="shared" si="468"/>
        <v>54043</v>
      </c>
      <c r="AN165" s="287">
        <f t="shared" si="468"/>
        <v>54340</v>
      </c>
      <c r="AO165" s="287">
        <f t="shared" si="468"/>
        <v>49692</v>
      </c>
      <c r="AP165" s="1180">
        <f t="shared" si="468"/>
        <v>49692</v>
      </c>
      <c r="AQ165" s="287">
        <f t="shared" si="468"/>
        <v>12209</v>
      </c>
      <c r="AR165" s="287">
        <f t="shared" si="469" ref="AR165:AW165">SUM(AR156:AR164)</f>
        <v>12760</v>
      </c>
      <c r="AS165" s="287">
        <f t="shared" si="469"/>
        <v>13554</v>
      </c>
      <c r="AT165" s="287">
        <f t="shared" si="469"/>
        <v>13614</v>
      </c>
      <c r="AU165" s="1180">
        <f t="shared" si="469"/>
        <v>13614</v>
      </c>
      <c r="AV165" s="287">
        <f t="shared" si="469"/>
        <v>14420</v>
      </c>
      <c r="AW165" s="287">
        <f t="shared" si="469"/>
        <v>13301</v>
      </c>
      <c r="AX165" s="287">
        <f t="shared" si="470" ref="AX165:BJ165">SUM(AX156:AX164)</f>
        <v>13528</v>
      </c>
      <c r="AY165" s="287">
        <f t="shared" si="470"/>
        <v>13640</v>
      </c>
      <c r="AZ165" s="1180">
        <f t="shared" si="470"/>
        <v>13640</v>
      </c>
      <c r="BA165" s="287">
        <f t="shared" si="470"/>
        <v>13594</v>
      </c>
      <c r="BB165" s="287">
        <f t="shared" si="471" ref="BB165:BI165">SUM(BB156:BB164)</f>
        <v>13501</v>
      </c>
      <c r="BC165" s="287">
        <f t="shared" si="471"/>
        <v>13573</v>
      </c>
      <c r="BD165" s="287">
        <f t="shared" si="471"/>
        <v>14038</v>
      </c>
      <c r="BE165" s="1180">
        <f t="shared" si="471"/>
        <v>14038</v>
      </c>
      <c r="BF165" s="287">
        <f>SUM(BF156:BF164)</f>
        <v>14167</v>
      </c>
      <c r="BG165" s="287">
        <f>SUM(BG156:BG164)</f>
        <v>14140</v>
      </c>
      <c r="BH165" s="888">
        <f>SUM(BH156:BH164)</f>
        <v>14419</v>
      </c>
      <c r="BI165" s="159">
        <f t="shared" si="471"/>
        <v>0</v>
      </c>
      <c r="BJ165" s="1148">
        <f t="shared" si="470"/>
        <v>0</v>
      </c>
      <c r="BK165" s="159">
        <f t="shared" si="472" ref="BK165:BR165">SUM(BK156:BK164)</f>
        <v>0</v>
      </c>
      <c r="BL165" s="159">
        <f t="shared" si="472"/>
        <v>0</v>
      </c>
      <c r="BM165" s="159">
        <f t="shared" si="472"/>
        <v>0</v>
      </c>
      <c r="BN165" s="159">
        <f t="shared" si="472"/>
        <v>0</v>
      </c>
      <c r="BO165" s="1148">
        <f t="shared" si="472"/>
        <v>0</v>
      </c>
      <c r="BP165" s="1147">
        <f t="shared" si="472"/>
        <v>0</v>
      </c>
      <c r="BQ165" s="1147">
        <f t="shared" si="472"/>
        <v>0</v>
      </c>
      <c r="BR165" s="1148">
        <f t="shared" si="472"/>
        <v>0</v>
      </c>
      <c r="BS165" s="37"/>
    </row>
    <row r="166" spans="1:71" s="673" customFormat="1" ht="15" hidden="1" outlineLevel="1">
      <c r="A166" s="114" t="s">
        <v>129</v>
      </c>
      <c r="B166" s="480"/>
      <c r="C166" s="1131"/>
      <c r="D166" s="1140">
        <f t="shared" si="473" ref="D166:K168">AVERAGE(C156,D156)</f>
        <v>18075.50</v>
      </c>
      <c r="E166" s="1140">
        <f t="shared" si="473"/>
        <v>20567.50</v>
      </c>
      <c r="F166" s="1140">
        <f t="shared" si="473"/>
        <v>22962.50</v>
      </c>
      <c r="G166" s="1140">
        <f t="shared" si="473"/>
        <v>25287</v>
      </c>
      <c r="H166" s="288">
        <f t="shared" si="473"/>
        <v>26923</v>
      </c>
      <c r="I166" s="288">
        <f t="shared" si="473"/>
        <v>28189</v>
      </c>
      <c r="J166" s="288">
        <f t="shared" si="473"/>
        <v>29476.50</v>
      </c>
      <c r="K166" s="288">
        <f t="shared" si="473"/>
        <v>30349.50</v>
      </c>
      <c r="L166" s="1140">
        <f>SUM(H166*H$3,I166*I$3,J166*J$3,K166*K$3)/L$3</f>
        <v>28745.920547945207</v>
      </c>
      <c r="M166" s="288">
        <f t="shared" si="474" ref="M166:P169">AVERAGE(L156,M156)</f>
        <v>31351</v>
      </c>
      <c r="N166" s="288">
        <f t="shared" si="474"/>
        <v>32114</v>
      </c>
      <c r="O166" s="288">
        <f t="shared" si="474"/>
        <v>32687</v>
      </c>
      <c r="P166" s="288">
        <f t="shared" si="474"/>
        <v>32699</v>
      </c>
      <c r="Q166" s="1140">
        <f t="shared" si="475" ref="Q166:Q174">SUM(M166*M$3,N166*N$3,O166*O$3,P166*P$3)/Q$3</f>
        <v>32217.742465753425</v>
      </c>
      <c r="R166" s="288">
        <f t="shared" si="476" ref="R166:U169">AVERAGE(Q156,R156)</f>
        <v>33102.50</v>
      </c>
      <c r="S166" s="288">
        <f t="shared" si="476"/>
        <v>34279.50</v>
      </c>
      <c r="T166" s="288">
        <f t="shared" si="476"/>
        <v>35016</v>
      </c>
      <c r="U166" s="288">
        <f t="shared" si="476"/>
        <v>34969</v>
      </c>
      <c r="V166" s="1140">
        <f t="shared" si="477" ref="V166:V174">SUM(R166*R$3,S166*S$3,T166*T$3,U166*U$3)/V$3</f>
        <v>34345.306010928958</v>
      </c>
      <c r="W166" s="288">
        <f t="shared" si="478" ref="W166:Z169">AVERAGE(V156,W156)</f>
        <v>35500</v>
      </c>
      <c r="X166" s="288">
        <f t="shared" si="478"/>
        <v>36980</v>
      </c>
      <c r="Y166" s="288">
        <f t="shared" si="478"/>
        <v>37661</v>
      </c>
      <c r="Z166" s="288">
        <f t="shared" si="478"/>
        <v>38098.50</v>
      </c>
      <c r="AA166" s="1140">
        <f t="shared" si="479" ref="AA166:AA174">SUM(W166*W$3,X166*X$3,Y166*Y$3,Z166*Z$3)/AA$3</f>
        <v>37068.641095890409</v>
      </c>
      <c r="AB166" s="288">
        <f t="shared" si="480" ref="AB166:AE169">AVERAGE(AA156,AB156)</f>
        <v>38752</v>
      </c>
      <c r="AC166" s="288">
        <f t="shared" si="480"/>
        <v>39386.50</v>
      </c>
      <c r="AD166" s="288">
        <f t="shared" si="480"/>
        <v>39946</v>
      </c>
      <c r="AE166" s="288">
        <f t="shared" si="480"/>
        <v>41120.50</v>
      </c>
      <c r="AF166" s="1140">
        <f t="shared" si="481" ref="AF166:AF174">SUM(AB166*AB$3,AC166*AC$3,AD166*AD$3,AE166*AE$3)/AF$3</f>
        <v>39808.135616438354</v>
      </c>
      <c r="AG166" s="288">
        <f t="shared" si="482" ref="AG166:AJ169">AVERAGE(AF156,AG156)</f>
        <v>42714</v>
      </c>
      <c r="AH166" s="288">
        <f t="shared" si="482"/>
        <v>44070.50</v>
      </c>
      <c r="AI166" s="288">
        <f t="shared" si="482"/>
        <v>45106.50</v>
      </c>
      <c r="AJ166" s="288">
        <f t="shared" si="482"/>
        <v>46004</v>
      </c>
      <c r="AK166" s="1140">
        <f t="shared" si="483" ref="AK166:AK174">SUM(AG166*AG$3,AH166*AH$3,AI166*AI$3,AJ166*AJ$3)/AK$3</f>
        <v>44484.497260273973</v>
      </c>
      <c r="AL166" s="288">
        <f t="shared" si="484" ref="AL166:AO169">AVERAGE(AK156,AL156)</f>
        <v>46319.50</v>
      </c>
      <c r="AM166" s="288">
        <f t="shared" si="484"/>
        <v>47090</v>
      </c>
      <c r="AN166" s="288">
        <f t="shared" si="484"/>
        <v>48119.50</v>
      </c>
      <c r="AO166" s="288">
        <f t="shared" si="484"/>
        <v>45700</v>
      </c>
      <c r="AP166" s="1140">
        <f t="shared" si="485" ref="AP166:AP174">SUM(AL166*AL$3,AM166*AM$3,AN166*AN$3,AO166*AO$3)/AP$3</f>
        <v>46807.810109289618</v>
      </c>
      <c r="AQ166" s="288">
        <f t="shared" si="486" ref="AQ166:AT169">AVERAGE(AP156,AQ156)</f>
        <v>26248</v>
      </c>
      <c r="AR166" s="288">
        <f t="shared" si="486"/>
        <v>9510.50</v>
      </c>
      <c r="AS166" s="288">
        <f t="shared" si="486"/>
        <v>10079.50</v>
      </c>
      <c r="AT166" s="288">
        <f t="shared" si="486"/>
        <v>10392</v>
      </c>
      <c r="AU166" s="1140">
        <f t="shared" si="487" ref="AU166:AU174">SUM(AQ166*AQ$3,AR166*AR$3,AS166*AS$3,AT166*AT$3)/AU$3</f>
        <v>14003.160273972602</v>
      </c>
      <c r="AV166" s="288">
        <f t="shared" si="488" ref="AV166:AY169">AVERAGE(AU156,AV156)</f>
        <v>10583</v>
      </c>
      <c r="AW166" s="288">
        <f t="shared" si="488"/>
        <v>10301</v>
      </c>
      <c r="AX166" s="288">
        <f t="shared" si="488"/>
        <v>9913.50</v>
      </c>
      <c r="AY166" s="288">
        <f t="shared" si="488"/>
        <v>10064.50</v>
      </c>
      <c r="AZ166" s="1140">
        <f t="shared" si="489" ref="AZ166:AZ174">SUM(AV166*AV$3,AW166*AW$3,AX166*AX$3,AY166*AY$3)/AZ$3</f>
        <v>10213.252054794521</v>
      </c>
      <c r="BA166" s="288">
        <f t="shared" si="490" ref="BA166:BB169">AVERAGE(AZ156,BA156)</f>
        <v>10069.50</v>
      </c>
      <c r="BB166" s="288">
        <f t="shared" si="490"/>
        <v>9964.50</v>
      </c>
      <c r="BC166" s="288">
        <f t="shared" si="491" ref="BC166:BD169">AVERAGE(BB156,BC156)</f>
        <v>9908</v>
      </c>
      <c r="BD166" s="288">
        <f t="shared" si="491"/>
        <v>10154</v>
      </c>
      <c r="BE166" s="1140">
        <f t="shared" si="492" ref="BE166:BE174">SUM(BA166*BA$3,BB166*BB$3,BC166*BC$3,BD166*BD$3)/BE$3</f>
        <v>10023.913698630136</v>
      </c>
      <c r="BF166" s="288">
        <f t="shared" si="493" ref="BF166:BG169">AVERAGE(BE156,BF156)</f>
        <v>10374</v>
      </c>
      <c r="BG166" s="288">
        <f t="shared" si="493"/>
        <v>10283.50</v>
      </c>
      <c r="BH166" s="875">
        <f>AVERAGE(BG156,BH156)</f>
        <v>10315.50</v>
      </c>
      <c r="BI166" s="171">
        <f t="shared" si="494" ref="BI166:BI174">BD166*(1+BI177)</f>
        <v>10458.620000000001</v>
      </c>
      <c r="BJ166" s="1133">
        <f t="shared" si="495" ref="BJ166:BJ174">SUM(BF166*BF$3,BG166*BG$3,BH166*BH$3,BI166*BI$3)/BJ$3</f>
        <v>10358.06431693989</v>
      </c>
      <c r="BK166" s="171">
        <f t="shared" si="496" ref="BK166:BK174">BF166*(1+BK177)</f>
        <v>10685.220000000001</v>
      </c>
      <c r="BL166" s="171">
        <f t="shared" si="497" ref="BL166:BL174">BG166*(1+BL177)</f>
        <v>10592.005000000001</v>
      </c>
      <c r="BM166" s="171">
        <f t="shared" si="498" ref="BM166:BM174">BH166*(1+BM177)</f>
        <v>10624.965</v>
      </c>
      <c r="BN166" s="171">
        <f t="shared" si="499" ref="BN166:BN174">BI166*(1+BN177)</f>
        <v>10772.378600000002</v>
      </c>
      <c r="BO166" s="1133">
        <f t="shared" si="500" ref="BO166:BO174">SUM(BK166*BK$3,BL166*BL$3,BM166*BM$3,BN166*BN$3)/BO$3</f>
        <v>10668.761277260273</v>
      </c>
      <c r="BP166" s="1131">
        <f t="shared" si="501" ref="BP166:BR174">BO166*(1+BP177)</f>
        <v>10989.405219337465</v>
      </c>
      <c r="BQ166" s="1131">
        <f t="shared" si="501"/>
        <v>11319.685944441186</v>
      </c>
      <c r="BR166" s="1133">
        <f t="shared" si="501"/>
        <v>11659.893080956426</v>
      </c>
      <c r="BS166" s="32"/>
    </row>
    <row r="167" spans="1:71" s="673" customFormat="1" ht="15" hidden="1" outlineLevel="1">
      <c r="A167" s="114" t="s">
        <v>130</v>
      </c>
      <c r="B167" s="480"/>
      <c r="C167" s="1131"/>
      <c r="D167" s="1140">
        <f t="shared" si="473"/>
        <v>382.50</v>
      </c>
      <c r="E167" s="1140">
        <f t="shared" si="473"/>
        <v>416.50</v>
      </c>
      <c r="F167" s="1140">
        <f t="shared" si="473"/>
        <v>380.50</v>
      </c>
      <c r="G167" s="1140">
        <f t="shared" si="473"/>
        <v>313</v>
      </c>
      <c r="H167" s="288">
        <f t="shared" si="473"/>
        <v>301</v>
      </c>
      <c r="I167" s="288">
        <f t="shared" si="473"/>
        <v>320</v>
      </c>
      <c r="J167" s="288">
        <f t="shared" si="473"/>
        <v>342.50</v>
      </c>
      <c r="K167" s="288">
        <f t="shared" si="473"/>
        <v>304</v>
      </c>
      <c r="L167" s="1140">
        <f>SUM(H167*H$3,I167*I$3,J167*J$3,K167*K$3)/L$3</f>
        <v>316.95342465753424</v>
      </c>
      <c r="M167" s="288">
        <f t="shared" si="474"/>
        <v>269.50</v>
      </c>
      <c r="N167" s="288">
        <f t="shared" si="474"/>
        <v>276</v>
      </c>
      <c r="O167" s="288">
        <f t="shared" si="474"/>
        <v>274</v>
      </c>
      <c r="P167" s="288">
        <f t="shared" si="474"/>
        <v>261.50</v>
      </c>
      <c r="Q167" s="1140">
        <f t="shared" si="475"/>
        <v>270.23835616438356</v>
      </c>
      <c r="R167" s="288">
        <f t="shared" si="476"/>
        <v>251.50</v>
      </c>
      <c r="S167" s="288">
        <f t="shared" si="476"/>
        <v>260</v>
      </c>
      <c r="T167" s="288">
        <f t="shared" si="476"/>
        <v>309.50</v>
      </c>
      <c r="U167" s="288">
        <f t="shared" si="476"/>
        <v>353.50</v>
      </c>
      <c r="V167" s="1140">
        <f t="shared" si="477"/>
        <v>293.83196721311475</v>
      </c>
      <c r="W167" s="288">
        <f t="shared" si="478"/>
        <v>359</v>
      </c>
      <c r="X167" s="288">
        <f t="shared" si="478"/>
        <v>349</v>
      </c>
      <c r="Y167" s="288">
        <f t="shared" si="478"/>
        <v>344.50</v>
      </c>
      <c r="Z167" s="288">
        <f t="shared" si="478"/>
        <v>349</v>
      </c>
      <c r="AA167" s="1140">
        <f t="shared" si="479"/>
        <v>350.33150684931508</v>
      </c>
      <c r="AB167" s="288">
        <f t="shared" si="480"/>
        <v>254</v>
      </c>
      <c r="AC167" s="288">
        <f t="shared" si="480"/>
        <v>148.50</v>
      </c>
      <c r="AD167" s="288">
        <f t="shared" si="480"/>
        <v>120</v>
      </c>
      <c r="AE167" s="288">
        <f t="shared" si="480"/>
        <v>104</v>
      </c>
      <c r="AF167" s="1140">
        <f t="shared" si="481"/>
        <v>156.11369863013698</v>
      </c>
      <c r="AG167" s="288">
        <f t="shared" si="482"/>
        <v>106</v>
      </c>
      <c r="AH167" s="288">
        <f t="shared" si="482"/>
        <v>106.50</v>
      </c>
      <c r="AI167" s="288">
        <f t="shared" si="482"/>
        <v>107</v>
      </c>
      <c r="AJ167" s="288">
        <f t="shared" si="482"/>
        <v>110.50</v>
      </c>
      <c r="AK167" s="1140">
        <f t="shared" si="483"/>
        <v>107.51095890410959</v>
      </c>
      <c r="AL167" s="288">
        <f t="shared" si="484"/>
        <v>104.50</v>
      </c>
      <c r="AM167" s="288">
        <f t="shared" si="484"/>
        <v>96.50</v>
      </c>
      <c r="AN167" s="288">
        <f t="shared" si="484"/>
        <v>94.50</v>
      </c>
      <c r="AO167" s="288">
        <f t="shared" si="484"/>
        <v>79</v>
      </c>
      <c r="AP167" s="1140">
        <f t="shared" si="485"/>
        <v>93.587431693989075</v>
      </c>
      <c r="AQ167" s="288">
        <f t="shared" si="486"/>
        <v>46</v>
      </c>
      <c r="AR167" s="288">
        <f t="shared" si="486"/>
        <v>26</v>
      </c>
      <c r="AS167" s="288">
        <f t="shared" si="486"/>
        <v>27.50</v>
      </c>
      <c r="AT167" s="288">
        <f t="shared" si="486"/>
        <v>28.50</v>
      </c>
      <c r="AU167" s="1140">
        <f t="shared" si="487"/>
        <v>31.93972602739726</v>
      </c>
      <c r="AV167" s="288">
        <f t="shared" si="488"/>
        <v>29</v>
      </c>
      <c r="AW167" s="288">
        <f t="shared" si="488"/>
        <v>29.50</v>
      </c>
      <c r="AX167" s="288">
        <f t="shared" si="488"/>
        <v>29.50</v>
      </c>
      <c r="AY167" s="288">
        <f t="shared" si="488"/>
        <v>31</v>
      </c>
      <c r="AZ167" s="1140">
        <f t="shared" si="489"/>
        <v>29.754794520547946</v>
      </c>
      <c r="BA167" s="288">
        <f t="shared" si="490"/>
        <v>34</v>
      </c>
      <c r="BB167" s="288">
        <f t="shared" si="490"/>
        <v>37</v>
      </c>
      <c r="BC167" s="288">
        <f t="shared" si="491"/>
        <v>44.50</v>
      </c>
      <c r="BD167" s="288">
        <f t="shared" si="491"/>
        <v>54</v>
      </c>
      <c r="BE167" s="1140">
        <f t="shared" si="492"/>
        <v>42.435616438356163</v>
      </c>
      <c r="BF167" s="288">
        <f t="shared" si="493"/>
        <v>57</v>
      </c>
      <c r="BG167" s="288">
        <f t="shared" si="493"/>
        <v>61</v>
      </c>
      <c r="BH167" s="875">
        <f>AVERAGE(BG157,BH157)</f>
        <v>71.50</v>
      </c>
      <c r="BI167" s="171">
        <f t="shared" si="494"/>
        <v>50.76</v>
      </c>
      <c r="BJ167" s="1133">
        <f t="shared" si="495"/>
        <v>60.070819672131144</v>
      </c>
      <c r="BK167" s="171">
        <f t="shared" si="496"/>
        <v>53.58</v>
      </c>
      <c r="BL167" s="171">
        <f t="shared" si="497"/>
        <v>57.34</v>
      </c>
      <c r="BM167" s="171">
        <f t="shared" si="498"/>
        <v>67.209999999999994</v>
      </c>
      <c r="BN167" s="171">
        <f t="shared" si="499"/>
        <v>47.714399999999998</v>
      </c>
      <c r="BO167" s="1133">
        <f t="shared" si="500"/>
        <v>56.474478904109588</v>
      </c>
      <c r="BP167" s="1131">
        <f t="shared" si="501"/>
        <v>53.086010169863009</v>
      </c>
      <c r="BQ167" s="1131">
        <f t="shared" si="501"/>
        <v>49.900849559671222</v>
      </c>
      <c r="BR167" s="1133">
        <f t="shared" si="501"/>
        <v>46.906798586090943</v>
      </c>
      <c r="BS167" s="32"/>
    </row>
    <row r="168" spans="1:71" s="673" customFormat="1" ht="15" hidden="1" outlineLevel="1">
      <c r="A168" s="114" t="s">
        <v>131</v>
      </c>
      <c r="B168" s="480"/>
      <c r="C168" s="1131"/>
      <c r="D168" s="1140">
        <f t="shared" si="473"/>
        <v>550.50</v>
      </c>
      <c r="E168" s="1140">
        <f t="shared" si="473"/>
        <v>809</v>
      </c>
      <c r="F168" s="1140">
        <f t="shared" si="473"/>
        <v>933.50</v>
      </c>
      <c r="G168" s="1140">
        <f t="shared" si="473"/>
        <v>1031</v>
      </c>
      <c r="H168" s="288">
        <f t="shared" si="473"/>
        <v>1210</v>
      </c>
      <c r="I168" s="288">
        <f t="shared" si="473"/>
        <v>1385</v>
      </c>
      <c r="J168" s="288">
        <f t="shared" si="473"/>
        <v>1473.50</v>
      </c>
      <c r="K168" s="288">
        <f t="shared" si="473"/>
        <v>1487.50</v>
      </c>
      <c r="L168" s="1140">
        <f>SUM(H168*H$3,I168*I$3,J168*J$3,K168*K$3)/L$3</f>
        <v>1389.9917808219177</v>
      </c>
      <c r="M168" s="288">
        <f t="shared" si="474"/>
        <v>1515.50</v>
      </c>
      <c r="N168" s="288">
        <f t="shared" si="474"/>
        <v>1532.50</v>
      </c>
      <c r="O168" s="288">
        <f t="shared" si="474"/>
        <v>1596.50</v>
      </c>
      <c r="P168" s="288">
        <f t="shared" si="474"/>
        <v>1605.50</v>
      </c>
      <c r="Q168" s="1140">
        <f t="shared" si="475"/>
        <v>1562.8397260273973</v>
      </c>
      <c r="R168" s="288">
        <f t="shared" si="476"/>
        <v>1544.50</v>
      </c>
      <c r="S168" s="288">
        <f t="shared" si="476"/>
        <v>1504</v>
      </c>
      <c r="T168" s="288">
        <f t="shared" si="476"/>
        <v>1512.50</v>
      </c>
      <c r="U168" s="288">
        <f t="shared" si="476"/>
        <v>1527.50</v>
      </c>
      <c r="V168" s="1140">
        <f t="shared" si="477"/>
        <v>1522.1133879781421</v>
      </c>
      <c r="W168" s="288">
        <f t="shared" si="478"/>
        <v>1540.50</v>
      </c>
      <c r="X168" s="288">
        <f t="shared" si="478"/>
        <v>1580</v>
      </c>
      <c r="Y168" s="288">
        <f t="shared" si="478"/>
        <v>1580</v>
      </c>
      <c r="Z168" s="288">
        <f t="shared" si="478"/>
        <v>1589.50</v>
      </c>
      <c r="AA168" s="1140">
        <f t="shared" si="479"/>
        <v>1572.654794520548</v>
      </c>
      <c r="AB168" s="288">
        <f t="shared" si="480"/>
        <v>1693</v>
      </c>
      <c r="AC168" s="288">
        <f t="shared" si="480"/>
        <v>1781.50</v>
      </c>
      <c r="AD168" s="288">
        <f t="shared" si="480"/>
        <v>1802</v>
      </c>
      <c r="AE168" s="288">
        <f t="shared" si="480"/>
        <v>1820.50</v>
      </c>
      <c r="AF168" s="1140">
        <f t="shared" si="481"/>
        <v>1774.6753424657534</v>
      </c>
      <c r="AG168" s="288">
        <f t="shared" si="482"/>
        <v>1872</v>
      </c>
      <c r="AH168" s="288">
        <f t="shared" si="482"/>
        <v>1957.50</v>
      </c>
      <c r="AI168" s="288">
        <f t="shared" si="482"/>
        <v>1994.50</v>
      </c>
      <c r="AJ168" s="288">
        <f t="shared" si="482"/>
        <v>1970.50</v>
      </c>
      <c r="AK168" s="1140">
        <f t="shared" si="483"/>
        <v>1949.0205479452054</v>
      </c>
      <c r="AL168" s="288">
        <f t="shared" si="484"/>
        <v>1748</v>
      </c>
      <c r="AM168" s="288">
        <f t="shared" si="484"/>
        <v>1580.50</v>
      </c>
      <c r="AN168" s="288">
        <f t="shared" si="484"/>
        <v>1604</v>
      </c>
      <c r="AO168" s="288">
        <f t="shared" si="484"/>
        <v>1634.50</v>
      </c>
      <c r="AP168" s="1140">
        <f t="shared" si="485"/>
        <v>1641.627049180328</v>
      </c>
      <c r="AQ168" s="288">
        <f t="shared" si="486"/>
        <v>1303.50</v>
      </c>
      <c r="AR168" s="288">
        <f t="shared" si="486"/>
        <v>954.50</v>
      </c>
      <c r="AS168" s="288">
        <f t="shared" si="486"/>
        <v>979</v>
      </c>
      <c r="AT168" s="288">
        <f t="shared" si="486"/>
        <v>1017.50</v>
      </c>
      <c r="AU168" s="1140">
        <f t="shared" si="487"/>
        <v>1062.6095890410959</v>
      </c>
      <c r="AV168" s="288">
        <f t="shared" si="488"/>
        <v>1032</v>
      </c>
      <c r="AW168" s="288">
        <f t="shared" si="488"/>
        <v>1025.50</v>
      </c>
      <c r="AX168" s="288">
        <f t="shared" si="488"/>
        <v>1012.50</v>
      </c>
      <c r="AY168" s="288">
        <f t="shared" si="488"/>
        <v>1003</v>
      </c>
      <c r="AZ168" s="1140">
        <f t="shared" si="489"/>
        <v>1018.154794520548</v>
      </c>
      <c r="BA168" s="288">
        <f t="shared" si="490"/>
        <v>1009</v>
      </c>
      <c r="BB168" s="288">
        <f t="shared" si="490"/>
        <v>1028</v>
      </c>
      <c r="BC168" s="288">
        <f t="shared" si="491"/>
        <v>1027.50</v>
      </c>
      <c r="BD168" s="288">
        <f t="shared" si="491"/>
        <v>1012.50</v>
      </c>
      <c r="BE168" s="1140">
        <f t="shared" si="492"/>
        <v>1019.2821917808219</v>
      </c>
      <c r="BF168" s="288">
        <f t="shared" si="493"/>
        <v>1029</v>
      </c>
      <c r="BG168" s="288">
        <f t="shared" si="493"/>
        <v>1058.50</v>
      </c>
      <c r="BH168" s="875">
        <f>AVERAGE(BG158,BH158)</f>
        <v>1079</v>
      </c>
      <c r="BI168" s="171">
        <f t="shared" si="494"/>
        <v>992.25</v>
      </c>
      <c r="BJ168" s="1133">
        <f t="shared" si="495"/>
        <v>1039.6653005464482</v>
      </c>
      <c r="BK168" s="171">
        <f t="shared" si="496"/>
        <v>1008.42</v>
      </c>
      <c r="BL168" s="171">
        <f t="shared" si="497"/>
        <v>1037.3299999999999</v>
      </c>
      <c r="BM168" s="171">
        <f t="shared" si="498"/>
        <v>1057.4200000000001</v>
      </c>
      <c r="BN168" s="171">
        <f t="shared" si="499"/>
        <v>972.405</v>
      </c>
      <c r="BO168" s="1133">
        <f t="shared" si="500"/>
        <v>1018.9006301369864</v>
      </c>
      <c r="BP168" s="1131">
        <f t="shared" si="501"/>
        <v>998.52261753424659</v>
      </c>
      <c r="BQ168" s="1131">
        <f t="shared" si="501"/>
        <v>978.55216518356167</v>
      </c>
      <c r="BR168" s="1133">
        <f t="shared" si="501"/>
        <v>958.98112187989045</v>
      </c>
      <c r="BS168" s="32"/>
    </row>
    <row r="169" spans="1:71" s="673" customFormat="1" ht="15" hidden="1" outlineLevel="1">
      <c r="A169" s="114" t="s">
        <v>132</v>
      </c>
      <c r="B169" s="480"/>
      <c r="C169" s="1131"/>
      <c r="D169" s="1131"/>
      <c r="E169" s="1131"/>
      <c r="F169" s="1131"/>
      <c r="G169" s="1140">
        <f>AVERAGE(F159,G159)</f>
        <v>28</v>
      </c>
      <c r="H169" s="288">
        <f>AVERAGE(G159,H159)</f>
        <v>28</v>
      </c>
      <c r="I169" s="419"/>
      <c r="J169" s="419"/>
      <c r="K169" s="288">
        <f>AVERAGE(J159,K159)</f>
        <v>97.50</v>
      </c>
      <c r="L169" s="1131"/>
      <c r="M169" s="288">
        <f t="shared" si="474"/>
        <v>187.50</v>
      </c>
      <c r="N169" s="288">
        <f t="shared" si="474"/>
        <v>174.50</v>
      </c>
      <c r="O169" s="288">
        <f t="shared" si="474"/>
        <v>171</v>
      </c>
      <c r="P169" s="288">
        <f t="shared" si="474"/>
        <v>169.50</v>
      </c>
      <c r="Q169" s="1140">
        <f t="shared" si="475"/>
        <v>175.56301369863013</v>
      </c>
      <c r="R169" s="288">
        <f t="shared" si="476"/>
        <v>139</v>
      </c>
      <c r="S169" s="288">
        <f t="shared" si="476"/>
        <v>99</v>
      </c>
      <c r="T169" s="288">
        <f t="shared" si="476"/>
        <v>86</v>
      </c>
      <c r="U169" s="288">
        <f t="shared" si="476"/>
        <v>71</v>
      </c>
      <c r="V169" s="1140">
        <f t="shared" si="477"/>
        <v>98.639344262295083</v>
      </c>
      <c r="W169" s="288">
        <f t="shared" si="478"/>
        <v>57</v>
      </c>
      <c r="X169" s="288">
        <f t="shared" si="478"/>
        <v>58.50</v>
      </c>
      <c r="Y169" s="288">
        <f t="shared" si="478"/>
        <v>59.50</v>
      </c>
      <c r="Z169" s="288">
        <f t="shared" si="478"/>
        <v>61</v>
      </c>
      <c r="AA169" s="1140">
        <f t="shared" si="479"/>
        <v>59.012328767123286</v>
      </c>
      <c r="AB169" s="288">
        <f t="shared" si="480"/>
        <v>31</v>
      </c>
      <c r="AC169" s="288">
        <f t="shared" si="480"/>
        <v>0</v>
      </c>
      <c r="AD169" s="288">
        <f t="shared" si="480"/>
        <v>0</v>
      </c>
      <c r="AE169" s="288">
        <f t="shared" si="480"/>
        <v>0</v>
      </c>
      <c r="AF169" s="1140">
        <f t="shared" si="481"/>
        <v>7.6438356164383565</v>
      </c>
      <c r="AG169" s="288">
        <f t="shared" si="482"/>
        <v>0</v>
      </c>
      <c r="AH169" s="288">
        <f t="shared" si="482"/>
        <v>0</v>
      </c>
      <c r="AI169" s="288">
        <f t="shared" si="482"/>
        <v>0</v>
      </c>
      <c r="AJ169" s="288">
        <f t="shared" si="482"/>
        <v>0</v>
      </c>
      <c r="AK169" s="1140">
        <f t="shared" si="483"/>
        <v>0</v>
      </c>
      <c r="AL169" s="288">
        <f t="shared" si="484"/>
        <v>0</v>
      </c>
      <c r="AM169" s="288">
        <f t="shared" si="484"/>
        <v>0</v>
      </c>
      <c r="AN169" s="288">
        <f t="shared" si="484"/>
        <v>0</v>
      </c>
      <c r="AO169" s="288">
        <f t="shared" si="484"/>
        <v>0</v>
      </c>
      <c r="AP169" s="1140">
        <f t="shared" si="485"/>
        <v>0</v>
      </c>
      <c r="AQ169" s="288">
        <f t="shared" si="486"/>
        <v>0</v>
      </c>
      <c r="AR169" s="288">
        <f t="shared" si="486"/>
        <v>0</v>
      </c>
      <c r="AS169" s="288">
        <f t="shared" si="486"/>
        <v>0</v>
      </c>
      <c r="AT169" s="288">
        <f t="shared" si="486"/>
        <v>0</v>
      </c>
      <c r="AU169" s="1140">
        <f t="shared" si="487"/>
        <v>0</v>
      </c>
      <c r="AV169" s="288">
        <f t="shared" si="488"/>
        <v>0</v>
      </c>
      <c r="AW169" s="288">
        <f t="shared" si="488"/>
        <v>0</v>
      </c>
      <c r="AX169" s="288">
        <f t="shared" si="488"/>
        <v>0</v>
      </c>
      <c r="AY169" s="288">
        <f t="shared" si="488"/>
        <v>0</v>
      </c>
      <c r="AZ169" s="1140">
        <f t="shared" si="489"/>
        <v>0</v>
      </c>
      <c r="BA169" s="288">
        <f t="shared" si="490"/>
        <v>0</v>
      </c>
      <c r="BB169" s="288">
        <f t="shared" si="490"/>
        <v>0</v>
      </c>
      <c r="BC169" s="288">
        <f t="shared" si="491"/>
        <v>0</v>
      </c>
      <c r="BD169" s="288">
        <f t="shared" si="491"/>
        <v>0</v>
      </c>
      <c r="BE169" s="1140">
        <f t="shared" si="492"/>
        <v>0</v>
      </c>
      <c r="BF169" s="288">
        <f t="shared" si="493"/>
        <v>0</v>
      </c>
      <c r="BG169" s="288">
        <f t="shared" si="493"/>
        <v>0</v>
      </c>
      <c r="BH169" s="875">
        <f>AVERAGE(BG159,BH159)</f>
        <v>0</v>
      </c>
      <c r="BI169" s="171">
        <f t="shared" si="494"/>
        <v>0</v>
      </c>
      <c r="BJ169" s="1133">
        <f t="shared" si="495"/>
        <v>0</v>
      </c>
      <c r="BK169" s="171">
        <f t="shared" si="496"/>
        <v>0</v>
      </c>
      <c r="BL169" s="171">
        <f t="shared" si="497"/>
        <v>0</v>
      </c>
      <c r="BM169" s="171">
        <f t="shared" si="498"/>
        <v>0</v>
      </c>
      <c r="BN169" s="171">
        <f t="shared" si="499"/>
        <v>0</v>
      </c>
      <c r="BO169" s="1133">
        <f t="shared" si="500"/>
        <v>0</v>
      </c>
      <c r="BP169" s="1131">
        <f t="shared" si="501"/>
        <v>0</v>
      </c>
      <c r="BQ169" s="1131">
        <f t="shared" si="501"/>
        <v>0</v>
      </c>
      <c r="BR169" s="1133">
        <f t="shared" si="501"/>
        <v>0</v>
      </c>
      <c r="BS169" s="32"/>
    </row>
    <row r="170" spans="1:71" s="673" customFormat="1" ht="15" hidden="1" outlineLevel="1">
      <c r="A170" s="114" t="s">
        <v>584</v>
      </c>
      <c r="B170" s="480"/>
      <c r="C170" s="1131"/>
      <c r="D170" s="1131"/>
      <c r="E170" s="1131"/>
      <c r="F170" s="1131"/>
      <c r="G170" s="1131"/>
      <c r="H170" s="419"/>
      <c r="I170" s="419"/>
      <c r="J170" s="419"/>
      <c r="K170" s="419"/>
      <c r="L170" s="1131"/>
      <c r="M170" s="419"/>
      <c r="N170" s="419"/>
      <c r="O170" s="419"/>
      <c r="P170" s="419"/>
      <c r="Q170" s="1131"/>
      <c r="R170" s="288">
        <f t="shared" si="502" ref="R170:U170">AVERAGE(R160,Q160)</f>
        <v>0</v>
      </c>
      <c r="S170" s="288">
        <f t="shared" si="502"/>
        <v>0</v>
      </c>
      <c r="T170" s="288">
        <f t="shared" si="502"/>
        <v>0</v>
      </c>
      <c r="U170" s="288">
        <f t="shared" si="502"/>
        <v>0</v>
      </c>
      <c r="V170" s="1140">
        <f>SUM(R170*R$3,S170*S$3,T170*T$3,U170*U$3)/V$3</f>
        <v>0</v>
      </c>
      <c r="W170" s="288">
        <f t="shared" si="503" ref="W170:Z170">AVERAGE(W160,V160)</f>
        <v>0</v>
      </c>
      <c r="X170" s="288">
        <f t="shared" si="503"/>
        <v>0</v>
      </c>
      <c r="Y170" s="288">
        <f t="shared" si="503"/>
        <v>0</v>
      </c>
      <c r="Z170" s="288">
        <f t="shared" si="503"/>
        <v>0</v>
      </c>
      <c r="AA170" s="1140">
        <f>SUM(W170*W$3,X170*X$3,Y170*Y$3,Z170*Z$3)/AA$3</f>
        <v>0</v>
      </c>
      <c r="AB170" s="288">
        <f t="shared" si="504" ref="AB170:AE170">AVERAGE(AB160,AA160)</f>
        <v>548.50</v>
      </c>
      <c r="AC170" s="288">
        <f t="shared" si="504"/>
        <v>1145.50</v>
      </c>
      <c r="AD170" s="288">
        <f t="shared" si="504"/>
        <v>1241.50</v>
      </c>
      <c r="AE170" s="288">
        <f t="shared" si="504"/>
        <v>1331.50</v>
      </c>
      <c r="AF170" s="1140">
        <f>SUM(AB170*AB$3,AC170*AC$3,AD170*AD$3,AE170*AE$3)/AF$3</f>
        <v>1069.3739726027397</v>
      </c>
      <c r="AG170" s="288">
        <f t="shared" si="505" ref="AG170:AJ170">AVERAGE(AG160,AF160)</f>
        <v>1407</v>
      </c>
      <c r="AH170" s="288">
        <f t="shared" si="505"/>
        <v>1473</v>
      </c>
      <c r="AI170" s="288">
        <f t="shared" si="505"/>
        <v>1520.50</v>
      </c>
      <c r="AJ170" s="288">
        <f t="shared" si="505"/>
        <v>1611.50</v>
      </c>
      <c r="AK170" s="1140">
        <f>SUM(AG170*AG$3,AH170*AH$3,AI170*AI$3,AJ170*AJ$3)/AK$3</f>
        <v>1503.6082191780822</v>
      </c>
      <c r="AL170" s="288">
        <f t="shared" si="506" ref="AL170:AO170">AVERAGE(AL160,AK160)</f>
        <v>1725.50</v>
      </c>
      <c r="AM170" s="288">
        <f t="shared" si="506"/>
        <v>1772</v>
      </c>
      <c r="AN170" s="288">
        <f t="shared" si="506"/>
        <v>1811</v>
      </c>
      <c r="AO170" s="288">
        <f t="shared" si="506"/>
        <v>1861</v>
      </c>
      <c r="AP170" s="1140">
        <f>SUM(AL170*AL$3,AM170*AM$3,AN170*AN$3,AO170*AO$3)/AP$3</f>
        <v>1792.6133879781421</v>
      </c>
      <c r="AQ170" s="288">
        <f t="shared" si="507" ref="AQ170:AT170">AVERAGE(AQ160,AP160)</f>
        <v>1602.50</v>
      </c>
      <c r="AR170" s="288">
        <f t="shared" si="507"/>
        <v>1351</v>
      </c>
      <c r="AS170" s="288">
        <f t="shared" si="507"/>
        <v>1392.50</v>
      </c>
      <c r="AT170" s="288">
        <f t="shared" si="507"/>
        <v>1462</v>
      </c>
      <c r="AU170" s="1140">
        <f>SUM(AQ170*AQ$3,AR170*AR$3,AS170*AS$3,AT170*AT$3)/AU$3</f>
        <v>1451.4520547945206</v>
      </c>
      <c r="AV170" s="288">
        <f t="shared" si="508" ref="AV170:AY170">AVERAGE(AV160,AU160)</f>
        <v>1568</v>
      </c>
      <c r="AW170" s="288">
        <f t="shared" si="508"/>
        <v>1622.50</v>
      </c>
      <c r="AX170" s="288">
        <f t="shared" si="508"/>
        <v>1643.50</v>
      </c>
      <c r="AY170" s="288">
        <f t="shared" si="508"/>
        <v>1680.50</v>
      </c>
      <c r="AZ170" s="1140">
        <f>SUM(AV170*AV$3,AW170*AW$3,AX170*AX$3,AY170*AY$3)/AZ$3</f>
        <v>1628.9739726027397</v>
      </c>
      <c r="BA170" s="288">
        <f>AVERAGE(BA160,AZ160)</f>
        <v>1716.50</v>
      </c>
      <c r="BB170" s="288">
        <f>AVERAGE(BB160,BA160)</f>
        <v>1744.50</v>
      </c>
      <c r="BC170" s="288">
        <f>AVERAGE(BC160,BB160)</f>
        <v>1781.50</v>
      </c>
      <c r="BD170" s="288">
        <f>AVERAGE(BD160,BC160)</f>
        <v>1810.50</v>
      </c>
      <c r="BE170" s="1140">
        <f t="shared" si="492"/>
        <v>1763.5575342465754</v>
      </c>
      <c r="BF170" s="288">
        <f>AVERAGE(BF160,BE160)</f>
        <v>1831</v>
      </c>
      <c r="BG170" s="288">
        <f>AVERAGE(BG160,BF160)</f>
        <v>1865</v>
      </c>
      <c r="BH170" s="875">
        <f>AVERAGE(BH160,BG160)</f>
        <v>1896.50</v>
      </c>
      <c r="BI170" s="171">
        <f t="shared" si="494"/>
        <v>1955.34</v>
      </c>
      <c r="BJ170" s="1133">
        <f>SUM(BF170*BF$3,BG170*BG$3,BH170*BH$3,BI170*BI$3)/BJ$3</f>
        <v>1887.1728961748634</v>
      </c>
      <c r="BK170" s="171">
        <f t="shared" si="496"/>
        <v>1977.48</v>
      </c>
      <c r="BL170" s="171">
        <f t="shared" si="497"/>
        <v>2014.20</v>
      </c>
      <c r="BM170" s="171">
        <f t="shared" si="498"/>
        <v>2048.2200000000003</v>
      </c>
      <c r="BN170" s="171">
        <f t="shared" si="499"/>
        <v>2111.7672000000002</v>
      </c>
      <c r="BO170" s="1133">
        <f t="shared" si="500"/>
        <v>2038.312938082192</v>
      </c>
      <c r="BP170" s="1131">
        <f t="shared" si="501"/>
        <v>2201.3779731287673</v>
      </c>
      <c r="BQ170" s="1131">
        <f t="shared" si="501"/>
        <v>2377.4882109790688</v>
      </c>
      <c r="BR170" s="1133">
        <f t="shared" si="501"/>
        <v>2567.6872678573945</v>
      </c>
      <c r="BS170" s="32"/>
    </row>
    <row r="171" spans="1:71" s="673" customFormat="1" ht="15" hidden="1" outlineLevel="1">
      <c r="A171" s="114" t="s">
        <v>133</v>
      </c>
      <c r="B171" s="480"/>
      <c r="C171" s="1131"/>
      <c r="D171" s="1140">
        <f t="shared" si="509" ref="D171:K172">AVERAGE(C161,D161)</f>
        <v>422</v>
      </c>
      <c r="E171" s="1140">
        <f t="shared" si="509"/>
        <v>434.50</v>
      </c>
      <c r="F171" s="1140">
        <f t="shared" si="509"/>
        <v>504</v>
      </c>
      <c r="G171" s="1140">
        <f t="shared" si="509"/>
        <v>694</v>
      </c>
      <c r="H171" s="288">
        <f t="shared" si="509"/>
        <v>834.50</v>
      </c>
      <c r="I171" s="288">
        <f t="shared" si="509"/>
        <v>904</v>
      </c>
      <c r="J171" s="288">
        <f t="shared" si="509"/>
        <v>992</v>
      </c>
      <c r="K171" s="288">
        <f t="shared" si="509"/>
        <v>1090.50</v>
      </c>
      <c r="L171" s="1140">
        <f>SUM(H171*H$3,I171*I$3,J171*J$3,K171*K$3)/L$3</f>
        <v>956.05205479452059</v>
      </c>
      <c r="M171" s="288">
        <f t="shared" si="510" ref="M171:P172">AVERAGE(L161,M161)</f>
        <v>1104</v>
      </c>
      <c r="N171" s="288">
        <f t="shared" si="510"/>
        <v>1072.50</v>
      </c>
      <c r="O171" s="288">
        <f t="shared" si="510"/>
        <v>1024</v>
      </c>
      <c r="P171" s="288">
        <f t="shared" si="510"/>
        <v>1030.50</v>
      </c>
      <c r="Q171" s="1140">
        <f t="shared" si="475"/>
        <v>1057.4561643835616</v>
      </c>
      <c r="R171" s="288">
        <f t="shared" si="511" ref="R171:U172">AVERAGE(Q161,R161)</f>
        <v>1082</v>
      </c>
      <c r="S171" s="288">
        <f t="shared" si="511"/>
        <v>1128</v>
      </c>
      <c r="T171" s="288">
        <f t="shared" si="511"/>
        <v>1169.50</v>
      </c>
      <c r="U171" s="288">
        <f t="shared" si="511"/>
        <v>1163.50</v>
      </c>
      <c r="V171" s="1140">
        <f t="shared" si="477"/>
        <v>1135.9180327868853</v>
      </c>
      <c r="W171" s="288">
        <f t="shared" si="512" ref="W171:Z174">AVERAGE(V161,W161)</f>
        <v>1153</v>
      </c>
      <c r="X171" s="288">
        <f t="shared" si="512"/>
        <v>1171.50</v>
      </c>
      <c r="Y171" s="288">
        <f t="shared" si="512"/>
        <v>1113.50</v>
      </c>
      <c r="Z171" s="288">
        <f t="shared" si="512"/>
        <v>1084</v>
      </c>
      <c r="AA171" s="1140">
        <f t="shared" si="479"/>
        <v>1130.2643835616439</v>
      </c>
      <c r="AB171" s="288">
        <f t="shared" si="513" ref="AB171:AE174">AVERAGE(AA161,AB161)</f>
        <v>1103.50</v>
      </c>
      <c r="AC171" s="288">
        <f t="shared" si="513"/>
        <v>1114.50</v>
      </c>
      <c r="AD171" s="288">
        <f t="shared" si="513"/>
        <v>1149.50</v>
      </c>
      <c r="AE171" s="288">
        <f t="shared" si="513"/>
        <v>1110</v>
      </c>
      <c r="AF171" s="1140">
        <f t="shared" si="481"/>
        <v>1119.4753424657533</v>
      </c>
      <c r="AG171" s="288">
        <f t="shared" si="514" ref="AG171:AJ174">AVERAGE(AF161,AG161)</f>
        <v>1073</v>
      </c>
      <c r="AH171" s="288">
        <f t="shared" si="514"/>
        <v>1075.50</v>
      </c>
      <c r="AI171" s="288">
        <f t="shared" si="514"/>
        <v>1123.50</v>
      </c>
      <c r="AJ171" s="288">
        <f t="shared" si="514"/>
        <v>1251.50</v>
      </c>
      <c r="AK171" s="1140">
        <f t="shared" si="483"/>
        <v>1131.3438356164384</v>
      </c>
      <c r="AL171" s="288">
        <f t="shared" si="515" ref="AL171:AO174">AVERAGE(AK161,AL161)</f>
        <v>1337.50</v>
      </c>
      <c r="AM171" s="288">
        <f t="shared" si="515"/>
        <v>1410.50</v>
      </c>
      <c r="AN171" s="288">
        <f t="shared" si="515"/>
        <v>1478.50</v>
      </c>
      <c r="AO171" s="288">
        <f t="shared" si="515"/>
        <v>1552.50</v>
      </c>
      <c r="AP171" s="1140">
        <f t="shared" si="485"/>
        <v>1445.1366120218579</v>
      </c>
      <c r="AQ171" s="288">
        <f t="shared" si="516" ref="AQ171:AT174">AVERAGE(AP161,AQ161)</f>
        <v>1015.50</v>
      </c>
      <c r="AR171" s="288">
        <f t="shared" si="516"/>
        <v>434.50</v>
      </c>
      <c r="AS171" s="288">
        <f t="shared" si="516"/>
        <v>499</v>
      </c>
      <c r="AT171" s="288">
        <f t="shared" si="516"/>
        <v>528.50</v>
      </c>
      <c r="AU171" s="1140">
        <f t="shared" si="487"/>
        <v>617.71095890410959</v>
      </c>
      <c r="AV171" s="288">
        <f t="shared" si="517" ref="AV171:AY174">AVERAGE(AU161,AV161)</f>
        <v>652</v>
      </c>
      <c r="AW171" s="288">
        <f t="shared" si="517"/>
        <v>738</v>
      </c>
      <c r="AX171" s="288">
        <f t="shared" si="517"/>
        <v>684</v>
      </c>
      <c r="AY171" s="288">
        <f t="shared" si="517"/>
        <v>676</v>
      </c>
      <c r="AZ171" s="1140">
        <f t="shared" si="489"/>
        <v>687.55616438356162</v>
      </c>
      <c r="BA171" s="288">
        <f t="shared" si="518" ref="BA171:BB174">AVERAGE(AZ161,BA161)</f>
        <v>661</v>
      </c>
      <c r="BB171" s="288">
        <f t="shared" si="518"/>
        <v>645.50</v>
      </c>
      <c r="BC171" s="288">
        <f t="shared" si="519" ref="BC171:BD174">AVERAGE(BB161,BC161)</f>
        <v>644.50</v>
      </c>
      <c r="BD171" s="288">
        <f t="shared" si="519"/>
        <v>643.50</v>
      </c>
      <c r="BE171" s="1140">
        <f t="shared" si="492"/>
        <v>648.56575342465749</v>
      </c>
      <c r="BF171" s="288">
        <f t="shared" si="520" ref="BF171:BG174">AVERAGE(BE161,BF161)</f>
        <v>682.50</v>
      </c>
      <c r="BG171" s="288">
        <f t="shared" si="520"/>
        <v>747.50</v>
      </c>
      <c r="BH171" s="875">
        <f>AVERAGE(BG161,BH161)</f>
        <v>769</v>
      </c>
      <c r="BI171" s="171">
        <f t="shared" si="494"/>
        <v>611.32499999999993</v>
      </c>
      <c r="BJ171" s="1133">
        <f t="shared" si="495"/>
        <v>702.51338797814208</v>
      </c>
      <c r="BK171" s="171">
        <f t="shared" si="496"/>
        <v>648.375</v>
      </c>
      <c r="BL171" s="171">
        <f t="shared" si="497"/>
        <v>710.125</v>
      </c>
      <c r="BM171" s="171">
        <f t="shared" si="498"/>
        <v>730.55</v>
      </c>
      <c r="BN171" s="171">
        <f t="shared" si="499"/>
        <v>580.75874999999996</v>
      </c>
      <c r="BO171" s="1133">
        <f t="shared" si="500"/>
        <v>667.43980821917796</v>
      </c>
      <c r="BP171" s="1131">
        <f t="shared" si="501"/>
        <v>634.06781780821905</v>
      </c>
      <c r="BQ171" s="1131">
        <f t="shared" si="501"/>
        <v>602.36442691780803</v>
      </c>
      <c r="BR171" s="1133">
        <f t="shared" si="501"/>
        <v>572.24620557191759</v>
      </c>
      <c r="BS171" s="32"/>
    </row>
    <row r="172" spans="1:71" s="673" customFormat="1" ht="15" hidden="1" outlineLevel="1">
      <c r="A172" s="114" t="s">
        <v>134</v>
      </c>
      <c r="B172" s="480"/>
      <c r="C172" s="1131"/>
      <c r="D172" s="1140">
        <f t="shared" si="509"/>
        <v>270</v>
      </c>
      <c r="E172" s="1140">
        <f t="shared" si="509"/>
        <v>258</v>
      </c>
      <c r="F172" s="1140">
        <f t="shared" si="509"/>
        <v>240</v>
      </c>
      <c r="G172" s="1140">
        <f t="shared" si="509"/>
        <v>233</v>
      </c>
      <c r="H172" s="288">
        <f t="shared" si="509"/>
        <v>236.50</v>
      </c>
      <c r="I172" s="288">
        <f t="shared" si="509"/>
        <v>234</v>
      </c>
      <c r="J172" s="288">
        <f t="shared" si="509"/>
        <v>231.50</v>
      </c>
      <c r="K172" s="288">
        <f t="shared" si="509"/>
        <v>229</v>
      </c>
      <c r="L172" s="1140">
        <f>SUM(H172*H$3,I172*I$3,J172*J$3,K172*K$3)/L$3</f>
        <v>232.72602739726028</v>
      </c>
      <c r="M172" s="288">
        <f t="shared" si="510"/>
        <v>227</v>
      </c>
      <c r="N172" s="288">
        <f t="shared" si="510"/>
        <v>224.50</v>
      </c>
      <c r="O172" s="288">
        <f t="shared" si="510"/>
        <v>222</v>
      </c>
      <c r="P172" s="288">
        <f t="shared" si="510"/>
        <v>211</v>
      </c>
      <c r="Q172" s="1140">
        <f t="shared" si="475"/>
        <v>221.08356164383562</v>
      </c>
      <c r="R172" s="288">
        <f t="shared" si="511"/>
        <v>199.50</v>
      </c>
      <c r="S172" s="288">
        <f t="shared" si="511"/>
        <v>196.50</v>
      </c>
      <c r="T172" s="288">
        <f t="shared" si="511"/>
        <v>194.50</v>
      </c>
      <c r="U172" s="288">
        <f t="shared" si="511"/>
        <v>193</v>
      </c>
      <c r="V172" s="1140">
        <f t="shared" si="477"/>
        <v>195.86338797814207</v>
      </c>
      <c r="W172" s="288">
        <f t="shared" si="512"/>
        <v>191</v>
      </c>
      <c r="X172" s="288">
        <f t="shared" si="512"/>
        <v>189</v>
      </c>
      <c r="Y172" s="288">
        <f t="shared" si="512"/>
        <v>187</v>
      </c>
      <c r="Z172" s="288">
        <f t="shared" si="512"/>
        <v>185</v>
      </c>
      <c r="AA172" s="1140">
        <f t="shared" si="479"/>
        <v>187.98082191780821</v>
      </c>
      <c r="AB172" s="288">
        <f t="shared" si="513"/>
        <v>182.50</v>
      </c>
      <c r="AC172" s="288">
        <f t="shared" si="513"/>
        <v>180</v>
      </c>
      <c r="AD172" s="288">
        <f t="shared" si="513"/>
        <v>177.50</v>
      </c>
      <c r="AE172" s="288">
        <f t="shared" si="513"/>
        <v>175</v>
      </c>
      <c r="AF172" s="1140">
        <f t="shared" si="481"/>
        <v>178.72602739726028</v>
      </c>
      <c r="AG172" s="288">
        <f t="shared" si="514"/>
        <v>173</v>
      </c>
      <c r="AH172" s="288">
        <f t="shared" si="514"/>
        <v>171</v>
      </c>
      <c r="AI172" s="288">
        <f t="shared" si="514"/>
        <v>168</v>
      </c>
      <c r="AJ172" s="288">
        <f t="shared" si="514"/>
        <v>165</v>
      </c>
      <c r="AK172" s="1140">
        <f t="shared" si="483"/>
        <v>169.22465753424657</v>
      </c>
      <c r="AL172" s="288">
        <f t="shared" si="515"/>
        <v>162.50</v>
      </c>
      <c r="AM172" s="288">
        <f t="shared" si="515"/>
        <v>159.50</v>
      </c>
      <c r="AN172" s="288">
        <f t="shared" si="515"/>
        <v>156</v>
      </c>
      <c r="AO172" s="288">
        <f t="shared" si="515"/>
        <v>152.50</v>
      </c>
      <c r="AP172" s="1140">
        <f t="shared" si="485"/>
        <v>157.60655737704917</v>
      </c>
      <c r="AQ172" s="288">
        <f t="shared" si="516"/>
        <v>75.50</v>
      </c>
      <c r="AR172" s="288">
        <f t="shared" si="516"/>
        <v>0</v>
      </c>
      <c r="AS172" s="288">
        <f t="shared" si="516"/>
        <v>0</v>
      </c>
      <c r="AT172" s="288">
        <f t="shared" si="516"/>
        <v>0</v>
      </c>
      <c r="AU172" s="1140">
        <f t="shared" si="487"/>
        <v>18.616438356164384</v>
      </c>
      <c r="AV172" s="288">
        <f t="shared" si="517"/>
        <v>0</v>
      </c>
      <c r="AW172" s="288">
        <f t="shared" si="517"/>
        <v>0</v>
      </c>
      <c r="AX172" s="288">
        <f t="shared" si="517"/>
        <v>0</v>
      </c>
      <c r="AY172" s="288">
        <f t="shared" si="517"/>
        <v>0</v>
      </c>
      <c r="AZ172" s="1140">
        <f t="shared" si="489"/>
        <v>0</v>
      </c>
      <c r="BA172" s="288">
        <f t="shared" si="518"/>
        <v>0</v>
      </c>
      <c r="BB172" s="288">
        <f t="shared" si="518"/>
        <v>0</v>
      </c>
      <c r="BC172" s="288">
        <f t="shared" si="519"/>
        <v>0</v>
      </c>
      <c r="BD172" s="288">
        <f t="shared" si="519"/>
        <v>0</v>
      </c>
      <c r="BE172" s="1140">
        <f t="shared" si="492"/>
        <v>0</v>
      </c>
      <c r="BF172" s="288">
        <f t="shared" si="520"/>
        <v>0</v>
      </c>
      <c r="BG172" s="288">
        <f t="shared" si="520"/>
        <v>0</v>
      </c>
      <c r="BH172" s="875">
        <f>AVERAGE(BG162,BH162)</f>
        <v>0</v>
      </c>
      <c r="BI172" s="171">
        <f t="shared" si="494"/>
        <v>0</v>
      </c>
      <c r="BJ172" s="1133">
        <f t="shared" si="495"/>
        <v>0</v>
      </c>
      <c r="BK172" s="171">
        <f t="shared" si="496"/>
        <v>0</v>
      </c>
      <c r="BL172" s="171">
        <f t="shared" si="497"/>
        <v>0</v>
      </c>
      <c r="BM172" s="171">
        <f t="shared" si="498"/>
        <v>0</v>
      </c>
      <c r="BN172" s="171">
        <f t="shared" si="499"/>
        <v>0</v>
      </c>
      <c r="BO172" s="1133">
        <f t="shared" si="500"/>
        <v>0</v>
      </c>
      <c r="BP172" s="1131">
        <f t="shared" si="501"/>
        <v>0</v>
      </c>
      <c r="BQ172" s="1131">
        <f t="shared" si="501"/>
        <v>0</v>
      </c>
      <c r="BR172" s="1133">
        <f t="shared" si="501"/>
        <v>0</v>
      </c>
      <c r="BS172" s="32"/>
    </row>
    <row r="173" spans="1:71" s="673" customFormat="1" ht="15" hidden="1" outlineLevel="1">
      <c r="A173" s="114" t="s">
        <v>135</v>
      </c>
      <c r="B173" s="480"/>
      <c r="C173" s="1131"/>
      <c r="D173" s="1131"/>
      <c r="E173" s="1131"/>
      <c r="F173" s="1131"/>
      <c r="G173" s="1131"/>
      <c r="H173" s="419"/>
      <c r="I173" s="419"/>
      <c r="J173" s="419"/>
      <c r="K173" s="419"/>
      <c r="L173" s="1131"/>
      <c r="M173" s="419"/>
      <c r="N173" s="419"/>
      <c r="O173" s="419"/>
      <c r="P173" s="288">
        <f>AVERAGE(O163,P163)</f>
        <v>120.50</v>
      </c>
      <c r="Q173" s="1140">
        <f t="shared" si="475"/>
        <v>30.372602739726027</v>
      </c>
      <c r="R173" s="288">
        <f>AVERAGE(Q163,R163)</f>
        <v>120.50</v>
      </c>
      <c r="S173" s="419"/>
      <c r="T173" s="419"/>
      <c r="U173" s="288">
        <f>AVERAGE(T163,U163)</f>
        <v>246</v>
      </c>
      <c r="V173" s="1140">
        <f t="shared" si="477"/>
        <v>91.796448087431699</v>
      </c>
      <c r="W173" s="288">
        <f t="shared" si="512"/>
        <v>532.50</v>
      </c>
      <c r="X173" s="288">
        <f t="shared" si="512"/>
        <v>581</v>
      </c>
      <c r="Y173" s="288">
        <f t="shared" si="512"/>
        <v>609</v>
      </c>
      <c r="Z173" s="288">
        <f t="shared" si="512"/>
        <v>665</v>
      </c>
      <c r="AA173" s="1140">
        <f t="shared" si="479"/>
        <v>597.27123287671236</v>
      </c>
      <c r="AB173" s="288">
        <f t="shared" si="513"/>
        <v>646</v>
      </c>
      <c r="AC173" s="288">
        <f t="shared" si="513"/>
        <v>603</v>
      </c>
      <c r="AD173" s="288">
        <f t="shared" si="513"/>
        <v>687</v>
      </c>
      <c r="AE173" s="288">
        <f t="shared" si="513"/>
        <v>471.50</v>
      </c>
      <c r="AF173" s="1140">
        <f t="shared" si="481"/>
        <v>601.63013698630141</v>
      </c>
      <c r="AG173" s="288">
        <f t="shared" si="514"/>
        <v>402</v>
      </c>
      <c r="AH173" s="288">
        <f t="shared" si="514"/>
        <v>666</v>
      </c>
      <c r="AI173" s="288">
        <f t="shared" si="514"/>
        <v>731</v>
      </c>
      <c r="AJ173" s="288">
        <f t="shared" si="514"/>
        <v>837</v>
      </c>
      <c r="AK173" s="1140">
        <f t="shared" si="483"/>
        <v>660.38904109589043</v>
      </c>
      <c r="AL173" s="288">
        <f t="shared" si="515"/>
        <v>566.50</v>
      </c>
      <c r="AM173" s="288">
        <f t="shared" si="515"/>
        <v>407</v>
      </c>
      <c r="AN173" s="288">
        <f t="shared" si="515"/>
        <v>651</v>
      </c>
      <c r="AO173" s="288">
        <f t="shared" si="515"/>
        <v>761</v>
      </c>
      <c r="AP173" s="1140">
        <f t="shared" si="485"/>
        <v>596.97404371584696</v>
      </c>
      <c r="AQ173" s="288">
        <f t="shared" si="516"/>
        <v>412.50</v>
      </c>
      <c r="AR173" s="288">
        <f t="shared" si="516"/>
        <v>0</v>
      </c>
      <c r="AS173" s="288">
        <f t="shared" si="516"/>
        <v>0</v>
      </c>
      <c r="AT173" s="288">
        <f t="shared" si="516"/>
        <v>0</v>
      </c>
      <c r="AU173" s="1140">
        <f t="shared" si="487"/>
        <v>101.71232876712328</v>
      </c>
      <c r="AV173" s="288">
        <f t="shared" si="517"/>
        <v>0</v>
      </c>
      <c r="AW173" s="288">
        <f t="shared" si="517"/>
        <v>0</v>
      </c>
      <c r="AX173" s="288">
        <f t="shared" si="517"/>
        <v>0</v>
      </c>
      <c r="AY173" s="288">
        <f t="shared" si="517"/>
        <v>0</v>
      </c>
      <c r="AZ173" s="1140">
        <f t="shared" si="489"/>
        <v>0</v>
      </c>
      <c r="BA173" s="288">
        <f t="shared" si="518"/>
        <v>0</v>
      </c>
      <c r="BB173" s="288">
        <f t="shared" si="518"/>
        <v>0</v>
      </c>
      <c r="BC173" s="288">
        <f t="shared" si="519"/>
        <v>0</v>
      </c>
      <c r="BD173" s="288">
        <f t="shared" si="519"/>
        <v>0</v>
      </c>
      <c r="BE173" s="1140">
        <f t="shared" si="492"/>
        <v>0</v>
      </c>
      <c r="BF173" s="288">
        <f t="shared" si="520"/>
        <v>0</v>
      </c>
      <c r="BG173" s="288">
        <f t="shared" si="520"/>
        <v>0</v>
      </c>
      <c r="BH173" s="875">
        <f>AVERAGE(BG163,BH163)</f>
        <v>0</v>
      </c>
      <c r="BI173" s="171">
        <f t="shared" si="494"/>
        <v>0</v>
      </c>
      <c r="BJ173" s="1133">
        <f t="shared" si="495"/>
        <v>0</v>
      </c>
      <c r="BK173" s="171">
        <f t="shared" si="496"/>
        <v>0</v>
      </c>
      <c r="BL173" s="171">
        <f t="shared" si="497"/>
        <v>0</v>
      </c>
      <c r="BM173" s="171">
        <f t="shared" si="498"/>
        <v>0</v>
      </c>
      <c r="BN173" s="171">
        <f t="shared" si="499"/>
        <v>0</v>
      </c>
      <c r="BO173" s="1133">
        <f t="shared" si="500"/>
        <v>0</v>
      </c>
      <c r="BP173" s="1131">
        <f t="shared" si="501"/>
        <v>0</v>
      </c>
      <c r="BQ173" s="1131">
        <f t="shared" si="501"/>
        <v>0</v>
      </c>
      <c r="BR173" s="1133">
        <f t="shared" si="501"/>
        <v>0</v>
      </c>
      <c r="BS173" s="32"/>
    </row>
    <row r="174" spans="1:71" s="673" customFormat="1" ht="15" hidden="1" outlineLevel="1">
      <c r="A174" s="115" t="s">
        <v>136</v>
      </c>
      <c r="B174" s="481"/>
      <c r="C174" s="1134"/>
      <c r="D174" s="1141">
        <f t="shared" si="521" ref="D174:K174">AVERAGE(C164,D164)</f>
        <v>420.50</v>
      </c>
      <c r="E174" s="1141">
        <f t="shared" si="521"/>
        <v>426.50</v>
      </c>
      <c r="F174" s="1141">
        <f t="shared" si="521"/>
        <v>478</v>
      </c>
      <c r="G174" s="1141">
        <f t="shared" si="521"/>
        <v>623</v>
      </c>
      <c r="H174" s="39">
        <f t="shared" si="521"/>
        <v>729.50</v>
      </c>
      <c r="I174" s="39">
        <f t="shared" si="521"/>
        <v>757</v>
      </c>
      <c r="J174" s="39">
        <f t="shared" si="521"/>
        <v>768</v>
      </c>
      <c r="K174" s="39">
        <f t="shared" si="521"/>
        <v>796</v>
      </c>
      <c r="L174" s="1141">
        <f>SUM(H174*H$3,I174*I$3,J174*J$3,K174*K$3)/L$3</f>
        <v>762.82191780821915</v>
      </c>
      <c r="M174" s="39">
        <f>AVERAGE(L164,M164)</f>
        <v>865</v>
      </c>
      <c r="N174" s="39">
        <f>AVERAGE(M164,N164)</f>
        <v>906</v>
      </c>
      <c r="O174" s="39">
        <f>AVERAGE(N164,O164)</f>
        <v>858.50</v>
      </c>
      <c r="P174" s="39">
        <f>AVERAGE(O164,P164)</f>
        <v>779.50</v>
      </c>
      <c r="Q174" s="1141">
        <f t="shared" si="475"/>
        <v>852.03287671232874</v>
      </c>
      <c r="R174" s="39">
        <f>AVERAGE(Q164,R164)</f>
        <v>921.50</v>
      </c>
      <c r="S174" s="39">
        <f>AVERAGE(R164,S164)</f>
        <v>1181.50</v>
      </c>
      <c r="T174" s="39">
        <f>AVERAGE(S164,T164)</f>
        <v>1340.50</v>
      </c>
      <c r="U174" s="39">
        <f>AVERAGE(T164,U164)</f>
        <v>1222.50</v>
      </c>
      <c r="V174" s="1141">
        <f t="shared" si="477"/>
        <v>1167.1284153005465</v>
      </c>
      <c r="W174" s="39">
        <f t="shared" si="512"/>
        <v>1060</v>
      </c>
      <c r="X174" s="39">
        <f t="shared" si="512"/>
        <v>1107</v>
      </c>
      <c r="Y174" s="39">
        <f t="shared" si="512"/>
        <v>1183.50</v>
      </c>
      <c r="Z174" s="39">
        <f t="shared" si="512"/>
        <v>1275</v>
      </c>
      <c r="AA174" s="1141">
        <f t="shared" si="479"/>
        <v>1157.0383561643835</v>
      </c>
      <c r="AB174" s="39">
        <f t="shared" si="513"/>
        <v>789.50</v>
      </c>
      <c r="AC174" s="39">
        <f t="shared" si="513"/>
        <v>270</v>
      </c>
      <c r="AD174" s="39">
        <f t="shared" si="513"/>
        <v>277</v>
      </c>
      <c r="AE174" s="39">
        <f t="shared" si="513"/>
        <v>274.50</v>
      </c>
      <c r="AF174" s="1141">
        <f t="shared" si="481"/>
        <v>400.99452054794523</v>
      </c>
      <c r="AG174" s="39">
        <f t="shared" si="514"/>
        <v>264.50</v>
      </c>
      <c r="AH174" s="39">
        <f t="shared" si="514"/>
        <v>266.50</v>
      </c>
      <c r="AI174" s="39">
        <f t="shared" si="514"/>
        <v>272.50</v>
      </c>
      <c r="AJ174" s="39">
        <f t="shared" si="514"/>
        <v>276</v>
      </c>
      <c r="AK174" s="1141">
        <f t="shared" si="483"/>
        <v>269.91369863013699</v>
      </c>
      <c r="AL174" s="39">
        <f t="shared" si="515"/>
        <v>279</v>
      </c>
      <c r="AM174" s="39">
        <f t="shared" si="515"/>
        <v>279.50</v>
      </c>
      <c r="AN174" s="39">
        <f t="shared" si="515"/>
        <v>277</v>
      </c>
      <c r="AO174" s="39">
        <f t="shared" si="515"/>
        <v>275.50</v>
      </c>
      <c r="AP174" s="1141">
        <f t="shared" si="485"/>
        <v>277.74180327868851</v>
      </c>
      <c r="AQ174" s="39">
        <f t="shared" si="516"/>
        <v>247</v>
      </c>
      <c r="AR174" s="39">
        <f t="shared" si="516"/>
        <v>208</v>
      </c>
      <c r="AS174" s="39">
        <f t="shared" si="516"/>
        <v>179.50</v>
      </c>
      <c r="AT174" s="39">
        <f t="shared" si="516"/>
        <v>155.50</v>
      </c>
      <c r="AU174" s="1141">
        <f t="shared" si="487"/>
        <v>197.20</v>
      </c>
      <c r="AV174" s="39">
        <f t="shared" si="517"/>
        <v>153</v>
      </c>
      <c r="AW174" s="39">
        <f t="shared" si="517"/>
        <v>144</v>
      </c>
      <c r="AX174" s="39">
        <f t="shared" si="517"/>
        <v>131.50</v>
      </c>
      <c r="AY174" s="39">
        <f t="shared" si="517"/>
        <v>129</v>
      </c>
      <c r="AZ174" s="1141">
        <f t="shared" si="489"/>
        <v>139.2876712328767</v>
      </c>
      <c r="BA174" s="39">
        <f t="shared" si="518"/>
        <v>127</v>
      </c>
      <c r="BB174" s="39">
        <f t="shared" si="518"/>
        <v>128</v>
      </c>
      <c r="BC174" s="39">
        <f t="shared" si="519"/>
        <v>131</v>
      </c>
      <c r="BD174" s="39">
        <f t="shared" si="519"/>
        <v>131</v>
      </c>
      <c r="BE174" s="1141">
        <f t="shared" si="492"/>
        <v>129.26575342465753</v>
      </c>
      <c r="BF174" s="39">
        <f t="shared" si="520"/>
        <v>129</v>
      </c>
      <c r="BG174" s="39">
        <f t="shared" si="520"/>
        <v>138</v>
      </c>
      <c r="BH174" s="876">
        <f>AVERAGE(BG164,BH164)</f>
        <v>148</v>
      </c>
      <c r="BI174" s="363">
        <f t="shared" si="494"/>
        <v>150.64999999999998</v>
      </c>
      <c r="BJ174" s="1134">
        <f t="shared" si="495"/>
        <v>141.45573770491802</v>
      </c>
      <c r="BK174" s="363">
        <f t="shared" si="496"/>
        <v>148.34999999999999</v>
      </c>
      <c r="BL174" s="363">
        <f t="shared" si="497"/>
        <v>158.69999999999999</v>
      </c>
      <c r="BM174" s="363">
        <f t="shared" si="498"/>
        <v>170.20</v>
      </c>
      <c r="BN174" s="363">
        <f t="shared" si="499"/>
        <v>173.24749999999997</v>
      </c>
      <c r="BO174" s="1134">
        <f t="shared" si="500"/>
        <v>162.71334246575341</v>
      </c>
      <c r="BP174" s="1134">
        <f t="shared" si="501"/>
        <v>187.12034383561641</v>
      </c>
      <c r="BQ174" s="1134">
        <f t="shared" si="501"/>
        <v>215.18839541095886</v>
      </c>
      <c r="BR174" s="1134">
        <f t="shared" si="501"/>
        <v>247.46665472260267</v>
      </c>
      <c r="BS174" s="32"/>
    </row>
    <row r="175" spans="1:71" s="674" customFormat="1" ht="15" hidden="1" outlineLevel="1">
      <c r="A175" s="101" t="s">
        <v>137</v>
      </c>
      <c r="B175" s="486"/>
      <c r="C175" s="1180">
        <f t="shared" si="522" ref="C175:AK175">SUM(C166:C174)</f>
        <v>0</v>
      </c>
      <c r="D175" s="1180">
        <f t="shared" si="522"/>
        <v>20121</v>
      </c>
      <c r="E175" s="1180">
        <f t="shared" si="522"/>
        <v>22912</v>
      </c>
      <c r="F175" s="1180">
        <f t="shared" si="522"/>
        <v>25498.50</v>
      </c>
      <c r="G175" s="1180">
        <f t="shared" si="522"/>
        <v>28209</v>
      </c>
      <c r="H175" s="287">
        <f t="shared" si="522"/>
        <v>30262.50</v>
      </c>
      <c r="I175" s="287">
        <f t="shared" si="522"/>
        <v>31789</v>
      </c>
      <c r="J175" s="287">
        <f t="shared" si="522"/>
        <v>33284</v>
      </c>
      <c r="K175" s="287">
        <f t="shared" si="522"/>
        <v>34354</v>
      </c>
      <c r="L175" s="1180">
        <f t="shared" si="522"/>
        <v>32404.465753424658</v>
      </c>
      <c r="M175" s="287">
        <f t="shared" si="522"/>
        <v>35519.50</v>
      </c>
      <c r="N175" s="287">
        <f t="shared" si="522"/>
        <v>36300</v>
      </c>
      <c r="O175" s="287">
        <f t="shared" si="522"/>
        <v>36833</v>
      </c>
      <c r="P175" s="287">
        <f t="shared" si="522"/>
        <v>36877</v>
      </c>
      <c r="Q175" s="1180">
        <f t="shared" si="522"/>
        <v>36387.32876712329</v>
      </c>
      <c r="R175" s="287">
        <f t="shared" si="522"/>
        <v>37361</v>
      </c>
      <c r="S175" s="287">
        <f t="shared" si="522"/>
        <v>38648.50</v>
      </c>
      <c r="T175" s="287">
        <f t="shared" si="522"/>
        <v>39628.50</v>
      </c>
      <c r="U175" s="287">
        <f t="shared" si="522"/>
        <v>39746</v>
      </c>
      <c r="V175" s="1180">
        <f t="shared" si="522"/>
        <v>38850.596994535517</v>
      </c>
      <c r="W175" s="287">
        <f t="shared" si="522"/>
        <v>40393</v>
      </c>
      <c r="X175" s="287">
        <f t="shared" si="522"/>
        <v>42016</v>
      </c>
      <c r="Y175" s="287">
        <f t="shared" si="522"/>
        <v>42738</v>
      </c>
      <c r="Z175" s="287">
        <f t="shared" si="522"/>
        <v>43307</v>
      </c>
      <c r="AA175" s="1180">
        <f t="shared" si="522"/>
        <v>42123.19452054795</v>
      </c>
      <c r="AB175" s="287">
        <f t="shared" si="522"/>
        <v>44000</v>
      </c>
      <c r="AC175" s="287">
        <f t="shared" si="522"/>
        <v>44629.50</v>
      </c>
      <c r="AD175" s="287">
        <f t="shared" si="522"/>
        <v>45400.50</v>
      </c>
      <c r="AE175" s="287">
        <f t="shared" si="522"/>
        <v>46407.50</v>
      </c>
      <c r="AF175" s="1180">
        <f t="shared" si="522"/>
        <v>45116.768493150674</v>
      </c>
      <c r="AG175" s="287">
        <f t="shared" si="522"/>
        <v>48011.50</v>
      </c>
      <c r="AH175" s="287">
        <f t="shared" si="522"/>
        <v>49786.50</v>
      </c>
      <c r="AI175" s="287">
        <f t="shared" si="522"/>
        <v>51023.50</v>
      </c>
      <c r="AJ175" s="287">
        <f t="shared" si="522"/>
        <v>52226</v>
      </c>
      <c r="AK175" s="1180">
        <f t="shared" si="522"/>
        <v>50275.508219178082</v>
      </c>
      <c r="AL175" s="287">
        <f t="shared" si="523" ref="AL175:AQ175">SUM(AL166:AL174)</f>
        <v>52243</v>
      </c>
      <c r="AM175" s="287">
        <f t="shared" si="523"/>
        <v>52795.50</v>
      </c>
      <c r="AN175" s="287">
        <f t="shared" si="523"/>
        <v>54191.50</v>
      </c>
      <c r="AO175" s="287">
        <f t="shared" si="523"/>
        <v>52016</v>
      </c>
      <c r="AP175" s="1180">
        <f t="shared" si="523"/>
        <v>52813.096994535517</v>
      </c>
      <c r="AQ175" s="287">
        <f t="shared" si="523"/>
        <v>30950.50</v>
      </c>
      <c r="AR175" s="287">
        <f t="shared" si="524" ref="AR175:AW175">SUM(AR166:AR174)</f>
        <v>12484.50</v>
      </c>
      <c r="AS175" s="287">
        <f t="shared" si="524"/>
        <v>13157</v>
      </c>
      <c r="AT175" s="287">
        <f t="shared" si="524"/>
        <v>13584</v>
      </c>
      <c r="AU175" s="1180">
        <f t="shared" si="524"/>
        <v>17484.401369863015</v>
      </c>
      <c r="AV175" s="287">
        <f t="shared" si="524"/>
        <v>14017</v>
      </c>
      <c r="AW175" s="287">
        <f t="shared" si="524"/>
        <v>13860.50</v>
      </c>
      <c r="AX175" s="287">
        <f t="shared" si="525" ref="AX175:BJ175">SUM(AX166:AX174)</f>
        <v>13414.50</v>
      </c>
      <c r="AY175" s="287">
        <f t="shared" si="525"/>
        <v>13584</v>
      </c>
      <c r="AZ175" s="1180">
        <f t="shared" si="525"/>
        <v>13716.979452054793</v>
      </c>
      <c r="BA175" s="287">
        <f t="shared" si="526" ref="BA175:BI175">SUM(BA166:BA174)</f>
        <v>13617</v>
      </c>
      <c r="BB175" s="287">
        <f t="shared" si="526"/>
        <v>13547.50</v>
      </c>
      <c r="BC175" s="287">
        <f t="shared" si="526"/>
        <v>13537</v>
      </c>
      <c r="BD175" s="287">
        <f t="shared" si="526"/>
        <v>13805.50</v>
      </c>
      <c r="BE175" s="1180">
        <f t="shared" si="526"/>
        <v>13627.020547945202</v>
      </c>
      <c r="BF175" s="287">
        <f>SUM(BF166:BF174)</f>
        <v>14102.50</v>
      </c>
      <c r="BG175" s="287">
        <f>SUM(BG166:BG174)</f>
        <v>14153.50</v>
      </c>
      <c r="BH175" s="888">
        <f>SUM(BH166:BH174)</f>
        <v>14279.50</v>
      </c>
      <c r="BI175" s="159">
        <f t="shared" si="526"/>
        <v>14218.945000000002</v>
      </c>
      <c r="BJ175" s="1148">
        <f t="shared" si="525"/>
        <v>14188.942459016394</v>
      </c>
      <c r="BK175" s="159">
        <f t="shared" si="527" ref="BK175:BR175">SUM(BK166:BK174)</f>
        <v>14521.425000000001</v>
      </c>
      <c r="BL175" s="159">
        <f t="shared" si="527"/>
        <v>14569.700000000003</v>
      </c>
      <c r="BM175" s="159">
        <f t="shared" si="527"/>
        <v>14698.564999999999</v>
      </c>
      <c r="BN175" s="159">
        <f t="shared" si="527"/>
        <v>14658.271450000002</v>
      </c>
      <c r="BO175" s="1148">
        <f t="shared" si="527"/>
        <v>14612.602475068492</v>
      </c>
      <c r="BP175" s="1147">
        <f t="shared" si="527"/>
        <v>15063.579981814179</v>
      </c>
      <c r="BQ175" s="1147">
        <f t="shared" si="527"/>
        <v>15543.179992492254</v>
      </c>
      <c r="BR175" s="1148">
        <f t="shared" si="527"/>
        <v>16053.181129574323</v>
      </c>
      <c r="BS175" s="37"/>
    </row>
    <row r="176" spans="1:71" s="671" customFormat="1" ht="15" hidden="1" outlineLevel="1">
      <c r="A176" s="478"/>
      <c r="B176" s="503"/>
      <c r="C176" s="1163"/>
      <c r="D176" s="1163"/>
      <c r="E176" s="1163"/>
      <c r="F176" s="1163"/>
      <c r="G176" s="1163"/>
      <c r="H176" s="494"/>
      <c r="I176" s="494"/>
      <c r="J176" s="494"/>
      <c r="K176" s="494"/>
      <c r="L176" s="1163"/>
      <c r="M176" s="494"/>
      <c r="N176" s="494"/>
      <c r="O176" s="494"/>
      <c r="P176" s="494"/>
      <c r="Q176" s="1163"/>
      <c r="R176" s="494"/>
      <c r="S176" s="494"/>
      <c r="T176" s="494"/>
      <c r="U176" s="494"/>
      <c r="V176" s="1163"/>
      <c r="W176" s="494"/>
      <c r="X176" s="494"/>
      <c r="Y176" s="494"/>
      <c r="Z176" s="494"/>
      <c r="AA176" s="1163"/>
      <c r="AB176" s="494"/>
      <c r="AC176" s="494"/>
      <c r="AD176" s="494"/>
      <c r="AE176" s="494"/>
      <c r="AF176" s="1163"/>
      <c r="AG176" s="494"/>
      <c r="AH176" s="494"/>
      <c r="AI176" s="494"/>
      <c r="AJ176" s="494"/>
      <c r="AK176" s="1163"/>
      <c r="AL176" s="494"/>
      <c r="AM176" s="494"/>
      <c r="AN176" s="494"/>
      <c r="AO176" s="494"/>
      <c r="AP176" s="1163"/>
      <c r="AQ176" s="494"/>
      <c r="AR176" s="494"/>
      <c r="AS176" s="494"/>
      <c r="AT176" s="494"/>
      <c r="AU176" s="1163"/>
      <c r="AV176" s="494"/>
      <c r="AW176" s="494"/>
      <c r="AX176" s="494"/>
      <c r="AY176" s="494"/>
      <c r="AZ176" s="1163"/>
      <c r="BA176" s="494"/>
      <c r="BB176" s="494"/>
      <c r="BC176" s="494"/>
      <c r="BD176" s="494"/>
      <c r="BE176" s="1163"/>
      <c r="BF176" s="494"/>
      <c r="BG176" s="494"/>
      <c r="BH176" s="866"/>
      <c r="BI176" s="504"/>
      <c r="BJ176" s="1165"/>
      <c r="BK176" s="504"/>
      <c r="BL176" s="504"/>
      <c r="BM176" s="504"/>
      <c r="BN176" s="504"/>
      <c r="BO176" s="1165"/>
      <c r="BP176" s="1163"/>
      <c r="BQ176" s="1163"/>
      <c r="BR176" s="1165"/>
      <c r="BS176" s="27"/>
    </row>
    <row r="177" spans="1:71" s="671" customFormat="1" ht="15" hidden="1" outlineLevel="1">
      <c r="A177" s="26" t="s">
        <v>138</v>
      </c>
      <c r="B177" s="470"/>
      <c r="C177" s="1118"/>
      <c r="D177" s="1118"/>
      <c r="E177" s="1119">
        <f t="shared" si="528" ref="E177:G179">E166/D166-1</f>
        <v>0.13786617244336252</v>
      </c>
      <c r="F177" s="1119">
        <f t="shared" si="528"/>
        <v>0.11644584903366972</v>
      </c>
      <c r="G177" s="1119">
        <f t="shared" si="528"/>
        <v>0.10123026673924884</v>
      </c>
      <c r="H177" s="471"/>
      <c r="I177" s="471"/>
      <c r="J177" s="471"/>
      <c r="K177" s="471"/>
      <c r="L177" s="1119">
        <f t="shared" si="529" ref="L177:U179">L166/G166-1</f>
        <v>0.13678651275142184</v>
      </c>
      <c r="M177" s="308">
        <f t="shared" si="529"/>
        <v>0.16446904134011819</v>
      </c>
      <c r="N177" s="308">
        <f t="shared" si="529"/>
        <v>0.13923871013515909</v>
      </c>
      <c r="O177" s="308">
        <f t="shared" si="529"/>
        <v>0.10891727308194654</v>
      </c>
      <c r="P177" s="308">
        <f t="shared" si="529"/>
        <v>0.077414784428079475</v>
      </c>
      <c r="Q177" s="1119">
        <f t="shared" si="529"/>
        <v>0.12077616063877938</v>
      </c>
      <c r="R177" s="308">
        <f t="shared" si="529"/>
        <v>0.055867436445408369</v>
      </c>
      <c r="S177" s="308">
        <f t="shared" si="529"/>
        <v>0.067431649747773603</v>
      </c>
      <c r="T177" s="308">
        <f t="shared" si="529"/>
        <v>0.071251567901612356</v>
      </c>
      <c r="U177" s="308">
        <f t="shared" si="529"/>
        <v>0.069421083213554002</v>
      </c>
      <c r="V177" s="1119">
        <f t="shared" si="530" ref="V177:AE179">V166/Q166-1</f>
        <v>0.066037015083756145</v>
      </c>
      <c r="W177" s="308">
        <f t="shared" si="530"/>
        <v>0.072426553885658107</v>
      </c>
      <c r="X177" s="308">
        <f t="shared" si="530"/>
        <v>0.078778862002071293</v>
      </c>
      <c r="Y177" s="308">
        <f t="shared" si="530"/>
        <v>0.075536897418323035</v>
      </c>
      <c r="Z177" s="308">
        <f t="shared" si="530"/>
        <v>0.089493551431267804</v>
      </c>
      <c r="AA177" s="1119">
        <f t="shared" si="530"/>
        <v>0.079292788484541799</v>
      </c>
      <c r="AB177" s="308">
        <f t="shared" si="530"/>
        <v>0.091605633802816833</v>
      </c>
      <c r="AC177" s="308">
        <f t="shared" si="530"/>
        <v>0.065075716603569589</v>
      </c>
      <c r="AD177" s="308">
        <f t="shared" si="530"/>
        <v>0.060672844587238872</v>
      </c>
      <c r="AE177" s="308">
        <f t="shared" si="530"/>
        <v>0.079320708164363429</v>
      </c>
      <c r="AF177" s="1119">
        <f t="shared" si="531" ref="AF177:AO179">AF166/AA166-1</f>
        <v>0.073903289669058347</v>
      </c>
      <c r="AG177" s="308">
        <f t="shared" si="531"/>
        <v>0.10223988439306364</v>
      </c>
      <c r="AH177" s="308">
        <f t="shared" si="531"/>
        <v>0.11892399680093435</v>
      </c>
      <c r="AI177" s="308">
        <f t="shared" si="531"/>
        <v>0.12918690231812957</v>
      </c>
      <c r="AJ177" s="308">
        <f t="shared" si="531"/>
        <v>0.11876071545822642</v>
      </c>
      <c r="AK177" s="1119">
        <f t="shared" si="531"/>
        <v>0.11747251086796839</v>
      </c>
      <c r="AL177" s="308">
        <f t="shared" si="531"/>
        <v>0.084410263613803327</v>
      </c>
      <c r="AM177" s="308">
        <f t="shared" si="531"/>
        <v>0.068515219931700289</v>
      </c>
      <c r="AN177" s="308">
        <f t="shared" si="531"/>
        <v>0.066797468214115474</v>
      </c>
      <c r="AO177" s="308">
        <f t="shared" si="531"/>
        <v>-0.0066081210329536066</v>
      </c>
      <c r="AP177" s="1119">
        <f t="shared" si="532" ref="AP177:AY179">AP166/AK166-1</f>
        <v>0.052227472312931678</v>
      </c>
      <c r="AQ177" s="308">
        <f t="shared" si="532"/>
        <v>-0.43332721639914074</v>
      </c>
      <c r="AR177" s="308">
        <f t="shared" si="532"/>
        <v>-0.79803567636440853</v>
      </c>
      <c r="AS177" s="308">
        <f t="shared" si="532"/>
        <v>-0.79053190494498071</v>
      </c>
      <c r="AT177" s="308">
        <f t="shared" si="532"/>
        <v>-0.77260393873085342</v>
      </c>
      <c r="AU177" s="1119">
        <f t="shared" si="532"/>
        <v>-0.70083709873892408</v>
      </c>
      <c r="AV177" s="308">
        <f t="shared" si="532"/>
        <v>-0.59680737580006094</v>
      </c>
      <c r="AW177" s="308">
        <f t="shared" si="532"/>
        <v>0.083118658325009198</v>
      </c>
      <c r="AX177" s="308">
        <f t="shared" si="532"/>
        <v>-0.016469070886452664</v>
      </c>
      <c r="AY177" s="308">
        <f t="shared" si="532"/>
        <v>-0.031514626635873788</v>
      </c>
      <c r="AZ177" s="1119">
        <f t="shared" si="533" ref="AZ177:BA179">AZ166/AU166-1</f>
        <v>-0.27064663583279192</v>
      </c>
      <c r="BA177" s="308">
        <f t="shared" si="533"/>
        <v>-0.04852121326655956</v>
      </c>
      <c r="BB177" s="308">
        <f t="shared" si="534" ref="BB177:BC179">BB166/AW166-1</f>
        <v>-0.032666731385302405</v>
      </c>
      <c r="BC177" s="308">
        <f t="shared" si="534"/>
        <v>-0.00055479901144905863</v>
      </c>
      <c r="BD177" s="308">
        <f t="shared" si="535" ref="BD177:BE179">BD166/AY166-1</f>
        <v>0.0088926424561577289</v>
      </c>
      <c r="BE177" s="1119">
        <f t="shared" si="535"/>
        <v>-0.018538498330264996</v>
      </c>
      <c r="BF177" s="308">
        <f t="shared" si="536" ref="BF177:BG179">BF166/BA166-1</f>
        <v>0.030239833159541263</v>
      </c>
      <c r="BG177" s="308">
        <f t="shared" si="536"/>
        <v>0.032013648452004606</v>
      </c>
      <c r="BH177" s="868">
        <f>BH166/BC166-1</f>
        <v>0.041128381106176892</v>
      </c>
      <c r="BI177" s="1031">
        <v>0.03</v>
      </c>
      <c r="BJ177" s="1120">
        <f>BJ166/BE166-1</f>
        <v>0.033335344692305036</v>
      </c>
      <c r="BK177" s="1031">
        <v>0.03</v>
      </c>
      <c r="BL177" s="1031">
        <v>0.03</v>
      </c>
      <c r="BM177" s="1031">
        <v>0.03</v>
      </c>
      <c r="BN177" s="1031">
        <v>0.03</v>
      </c>
      <c r="BO177" s="1120">
        <f>BO166/BJ166-1</f>
        <v>0.029995658533637393</v>
      </c>
      <c r="BP177" s="1121">
        <v>0.030054467781617911</v>
      </c>
      <c r="BQ177" s="1121">
        <v>0.030054467781617911</v>
      </c>
      <c r="BR177" s="1122">
        <v>0.030054467781617911</v>
      </c>
      <c r="BS177" s="27"/>
    </row>
    <row r="178" spans="1:71" s="671" customFormat="1" ht="15" hidden="1" outlineLevel="1">
      <c r="A178" s="26" t="s">
        <v>139</v>
      </c>
      <c r="B178" s="470"/>
      <c r="C178" s="1118"/>
      <c r="D178" s="1118"/>
      <c r="E178" s="1119">
        <f t="shared" si="528"/>
        <v>0.088888888888888795</v>
      </c>
      <c r="F178" s="1119">
        <f t="shared" si="528"/>
        <v>-0.086434573829531791</v>
      </c>
      <c r="G178" s="1119">
        <f t="shared" si="528"/>
        <v>-0.17739816031537448</v>
      </c>
      <c r="H178" s="471"/>
      <c r="I178" s="471"/>
      <c r="J178" s="471"/>
      <c r="K178" s="471"/>
      <c r="L178" s="1119">
        <f t="shared" si="529"/>
        <v>0.012630749704582334</v>
      </c>
      <c r="M178" s="308">
        <f t="shared" si="529"/>
        <v>-0.10465116279069764</v>
      </c>
      <c r="N178" s="308">
        <f t="shared" si="529"/>
        <v>-0.13749999999999996</v>
      </c>
      <c r="O178" s="308">
        <f t="shared" si="529"/>
        <v>-0.19999999999999996</v>
      </c>
      <c r="P178" s="308">
        <f t="shared" si="529"/>
        <v>-0.13980263157894735</v>
      </c>
      <c r="Q178" s="1119">
        <f t="shared" si="529"/>
        <v>-0.14738780167346655</v>
      </c>
      <c r="R178" s="308">
        <f t="shared" si="529"/>
        <v>-0.066790352504638273</v>
      </c>
      <c r="S178" s="308">
        <f t="shared" si="529"/>
        <v>-0.057971014492753659</v>
      </c>
      <c r="T178" s="308">
        <f t="shared" si="529"/>
        <v>0.12956204379562042</v>
      </c>
      <c r="U178" s="308">
        <f t="shared" si="529"/>
        <v>0.35181644359464626</v>
      </c>
      <c r="V178" s="1119">
        <f t="shared" si="530"/>
        <v>0.087306670243284756</v>
      </c>
      <c r="W178" s="308">
        <f t="shared" si="530"/>
        <v>0.42743538767395628</v>
      </c>
      <c r="X178" s="308">
        <f t="shared" si="530"/>
        <v>0.3423076923076922</v>
      </c>
      <c r="Y178" s="308">
        <f t="shared" si="530"/>
        <v>0.11308562197092087</v>
      </c>
      <c r="Z178" s="308">
        <f t="shared" si="530"/>
        <v>-0.012729844413012725</v>
      </c>
      <c r="AA178" s="1119">
        <f t="shared" si="530"/>
        <v>0.19228520358787748</v>
      </c>
      <c r="AB178" s="308">
        <f t="shared" si="530"/>
        <v>-0.29247910863509752</v>
      </c>
      <c r="AC178" s="308">
        <f t="shared" si="530"/>
        <v>-0.57449856733524363</v>
      </c>
      <c r="AD178" s="308">
        <f t="shared" si="530"/>
        <v>-0.65166908563134984</v>
      </c>
      <c r="AE178" s="308">
        <f t="shared" si="530"/>
        <v>-0.70200573065902572</v>
      </c>
      <c r="AF178" s="1119">
        <f t="shared" si="531"/>
        <v>-0.55438293279946205</v>
      </c>
      <c r="AG178" s="308">
        <f t="shared" si="531"/>
        <v>-0.58267716535433078</v>
      </c>
      <c r="AH178" s="308">
        <f t="shared" si="531"/>
        <v>-0.28282828282828287</v>
      </c>
      <c r="AI178" s="308">
        <f t="shared" si="531"/>
        <v>-0.10833333333333328</v>
      </c>
      <c r="AJ178" s="308">
        <f t="shared" si="531"/>
        <v>0.0625</v>
      </c>
      <c r="AK178" s="1119">
        <f t="shared" si="531"/>
        <v>-0.31132911559014764</v>
      </c>
      <c r="AL178" s="308">
        <f t="shared" si="531"/>
        <v>-0.014150943396226467</v>
      </c>
      <c r="AM178" s="308">
        <f t="shared" si="531"/>
        <v>-0.093896713615023497</v>
      </c>
      <c r="AN178" s="308">
        <f t="shared" si="531"/>
        <v>-0.11682242990654201</v>
      </c>
      <c r="AO178" s="308">
        <f t="shared" si="531"/>
        <v>-0.28506787330316741</v>
      </c>
      <c r="AP178" s="1119">
        <f t="shared" si="532"/>
        <v>-0.12950798087978255</v>
      </c>
      <c r="AQ178" s="308">
        <f t="shared" si="532"/>
        <v>-0.55980861244019131</v>
      </c>
      <c r="AR178" s="308">
        <f t="shared" si="532"/>
        <v>-0.73056994818652843</v>
      </c>
      <c r="AS178" s="308">
        <f t="shared" si="532"/>
        <v>-0.70899470899470907</v>
      </c>
      <c r="AT178" s="308">
        <f t="shared" si="532"/>
        <v>-0.639240506329114</v>
      </c>
      <c r="AU178" s="1119">
        <f t="shared" si="532"/>
        <v>-0.65871778454361962</v>
      </c>
      <c r="AV178" s="308">
        <f t="shared" si="532"/>
        <v>-0.36956521739130432</v>
      </c>
      <c r="AW178" s="308">
        <f t="shared" si="532"/>
        <v>0.13461538461538458</v>
      </c>
      <c r="AX178" s="308">
        <f t="shared" si="532"/>
        <v>0.072727272727272751</v>
      </c>
      <c r="AY178" s="308">
        <f t="shared" si="532"/>
        <v>0.087719298245614086</v>
      </c>
      <c r="AZ178" s="1119">
        <f t="shared" si="533"/>
        <v>-0.068407960199004969</v>
      </c>
      <c r="BA178" s="308">
        <f t="shared" si="533"/>
        <v>0.17241379310344818</v>
      </c>
      <c r="BB178" s="308">
        <f t="shared" si="534"/>
        <v>0.25423728813559321</v>
      </c>
      <c r="BC178" s="308">
        <f t="shared" si="534"/>
        <v>0.50847457627118642</v>
      </c>
      <c r="BD178" s="308">
        <f t="shared" si="535"/>
        <v>0.74193548387096775</v>
      </c>
      <c r="BE178" s="1119">
        <f t="shared" si="535"/>
        <v>0.42617743197826985</v>
      </c>
      <c r="BF178" s="308">
        <f t="shared" si="536"/>
        <v>0.67647058823529416</v>
      </c>
      <c r="BG178" s="308">
        <f t="shared" si="536"/>
        <v>0.64864864864864868</v>
      </c>
      <c r="BH178" s="868">
        <f>BH167/BC167-1</f>
        <v>0.60674157303370779</v>
      </c>
      <c r="BI178" s="1031">
        <v>-0.06</v>
      </c>
      <c r="BJ178" s="1120">
        <f>BJ167/BE167-1</f>
        <v>0.41557551683955496</v>
      </c>
      <c r="BK178" s="1031">
        <v>-0.06</v>
      </c>
      <c r="BL178" s="1031">
        <v>-0.06</v>
      </c>
      <c r="BM178" s="1031">
        <v>-0.06</v>
      </c>
      <c r="BN178" s="1031">
        <v>-0.06</v>
      </c>
      <c r="BO178" s="1120">
        <f>BO167/BJ167-1</f>
        <v>-0.059868348520138781</v>
      </c>
      <c r="BP178" s="1121">
        <v>-0.06</v>
      </c>
      <c r="BQ178" s="1121">
        <v>-0.06</v>
      </c>
      <c r="BR178" s="1122">
        <v>-0.06</v>
      </c>
      <c r="BS178" s="27"/>
    </row>
    <row r="179" spans="1:71" s="671" customFormat="1" ht="15" hidden="1" outlineLevel="1">
      <c r="A179" s="26" t="s">
        <v>140</v>
      </c>
      <c r="B179" s="470"/>
      <c r="C179" s="1118"/>
      <c r="D179" s="1118"/>
      <c r="E179" s="1119">
        <f t="shared" si="528"/>
        <v>0.46957311534968205</v>
      </c>
      <c r="F179" s="1119">
        <f t="shared" si="528"/>
        <v>0.15389369592089008</v>
      </c>
      <c r="G179" s="1119">
        <f t="shared" si="528"/>
        <v>0.10444563470808776</v>
      </c>
      <c r="H179" s="471"/>
      <c r="I179" s="471"/>
      <c r="J179" s="471"/>
      <c r="K179" s="471"/>
      <c r="L179" s="1119">
        <f t="shared" si="529"/>
        <v>0.34819765356151078</v>
      </c>
      <c r="M179" s="308">
        <f t="shared" si="529"/>
        <v>0.25247933884297513</v>
      </c>
      <c r="N179" s="308">
        <f t="shared" si="529"/>
        <v>0.10649819494584833</v>
      </c>
      <c r="O179" s="308">
        <f t="shared" si="529"/>
        <v>0.083474720054292462</v>
      </c>
      <c r="P179" s="308">
        <f t="shared" si="529"/>
        <v>0.079327731092436959</v>
      </c>
      <c r="Q179" s="1119">
        <f t="shared" si="529"/>
        <v>0.1243517750178873</v>
      </c>
      <c r="R179" s="308">
        <f t="shared" si="529"/>
        <v>0.019135598812273225</v>
      </c>
      <c r="S179" s="308">
        <f t="shared" si="529"/>
        <v>-0.018597063621533461</v>
      </c>
      <c r="T179" s="308">
        <f t="shared" si="529"/>
        <v>-0.052615095521453159</v>
      </c>
      <c r="U179" s="308">
        <f t="shared" si="529"/>
        <v>-0.048582995951417018</v>
      </c>
      <c r="V179" s="1119">
        <f t="shared" si="530"/>
        <v>-0.026059190440966051</v>
      </c>
      <c r="W179" s="308">
        <f t="shared" si="530"/>
        <v>-0.0025898348980252228</v>
      </c>
      <c r="X179" s="308">
        <f t="shared" si="530"/>
        <v>0.050531914893616969</v>
      </c>
      <c r="Y179" s="308">
        <f t="shared" si="530"/>
        <v>0.044628099173553704</v>
      </c>
      <c r="Z179" s="308">
        <f t="shared" si="530"/>
        <v>0.040589198036006469</v>
      </c>
      <c r="AA179" s="1119">
        <f t="shared" si="530"/>
        <v>0.033204757898845694</v>
      </c>
      <c r="AB179" s="308">
        <f t="shared" si="530"/>
        <v>0.098993833171048262</v>
      </c>
      <c r="AC179" s="308">
        <f t="shared" si="530"/>
        <v>0.12753164556962027</v>
      </c>
      <c r="AD179" s="308">
        <f t="shared" si="530"/>
        <v>0.14050632911392413</v>
      </c>
      <c r="AE179" s="308">
        <f t="shared" si="530"/>
        <v>0.1453287197231834</v>
      </c>
      <c r="AF179" s="1119">
        <f t="shared" si="531"/>
        <v>0.12845829145028298</v>
      </c>
      <c r="AG179" s="308">
        <f t="shared" si="531"/>
        <v>0.1057294743059658</v>
      </c>
      <c r="AH179" s="308">
        <f t="shared" si="531"/>
        <v>0.098793151838338478</v>
      </c>
      <c r="AI179" s="308">
        <f t="shared" si="531"/>
        <v>0.10682574916759147</v>
      </c>
      <c r="AJ179" s="308">
        <f t="shared" si="531"/>
        <v>0.082394946443284711</v>
      </c>
      <c r="AK179" s="1119">
        <f t="shared" si="531"/>
        <v>0.09824061973905307</v>
      </c>
      <c r="AL179" s="308">
        <f t="shared" si="531"/>
        <v>-0.066239316239316226</v>
      </c>
      <c r="AM179" s="308">
        <f t="shared" si="531"/>
        <v>-0.19259259259259254</v>
      </c>
      <c r="AN179" s="308">
        <f t="shared" si="531"/>
        <v>-0.19578841814991221</v>
      </c>
      <c r="AO179" s="308">
        <f t="shared" si="531"/>
        <v>-0.17051509769094142</v>
      </c>
      <c r="AP179" s="1119">
        <f t="shared" si="532"/>
        <v>-0.15771691021367285</v>
      </c>
      <c r="AQ179" s="308">
        <f t="shared" si="532"/>
        <v>-0.25429061784897022</v>
      </c>
      <c r="AR179" s="308">
        <f t="shared" si="532"/>
        <v>-0.39607719076241699</v>
      </c>
      <c r="AS179" s="308">
        <f t="shared" si="532"/>
        <v>-0.38965087281795507</v>
      </c>
      <c r="AT179" s="308">
        <f t="shared" si="532"/>
        <v>-0.37748546956255735</v>
      </c>
      <c r="AU179" s="1119">
        <f t="shared" si="532"/>
        <v>-0.35270950270241841</v>
      </c>
      <c r="AV179" s="308">
        <f t="shared" si="532"/>
        <v>-0.2082853855005754</v>
      </c>
      <c r="AW179" s="308">
        <f t="shared" si="532"/>
        <v>0.074384494499738052</v>
      </c>
      <c r="AX179" s="308">
        <f t="shared" si="532"/>
        <v>0.034218590398365611</v>
      </c>
      <c r="AY179" s="308">
        <f t="shared" si="532"/>
        <v>-0.014250614250614246</v>
      </c>
      <c r="AZ179" s="1119">
        <f t="shared" si="533"/>
        <v>-0.041835491585074158</v>
      </c>
      <c r="BA179" s="308">
        <f t="shared" si="533"/>
        <v>-0.022286821705426396</v>
      </c>
      <c r="BB179" s="308">
        <f t="shared" si="534"/>
        <v>0.0024378352023404215</v>
      </c>
      <c r="BC179" s="308">
        <f t="shared" si="534"/>
        <v>0.014814814814814836</v>
      </c>
      <c r="BD179" s="308">
        <f t="shared" si="535"/>
        <v>0.0094715852442672777</v>
      </c>
      <c r="BE179" s="1119">
        <f t="shared" si="535"/>
        <v>0.0011072945551513502</v>
      </c>
      <c r="BF179" s="308">
        <f t="shared" si="536"/>
        <v>0.019821605550049526</v>
      </c>
      <c r="BG179" s="308">
        <f t="shared" si="536"/>
        <v>0.029669260700389</v>
      </c>
      <c r="BH179" s="868">
        <f>BH168/BC168-1</f>
        <v>0.050121654501216639</v>
      </c>
      <c r="BI179" s="1031">
        <v>-0.02</v>
      </c>
      <c r="BJ179" s="1120">
        <f>BJ168/BE168-1</f>
        <v>0.01999751288699958</v>
      </c>
      <c r="BK179" s="1031">
        <v>-0.02</v>
      </c>
      <c r="BL179" s="1031">
        <v>-0.02</v>
      </c>
      <c r="BM179" s="1031">
        <v>-0.02</v>
      </c>
      <c r="BN179" s="1031">
        <v>-0.02</v>
      </c>
      <c r="BO179" s="1120">
        <f>BO168/BJ168-1</f>
        <v>-0.019972456903724622</v>
      </c>
      <c r="BP179" s="1121">
        <v>-0.02</v>
      </c>
      <c r="BQ179" s="1121">
        <v>-0.02</v>
      </c>
      <c r="BR179" s="1122">
        <v>-0.02</v>
      </c>
      <c r="BS179" s="27"/>
    </row>
    <row r="180" spans="1:71" s="671" customFormat="1" ht="15" hidden="1" outlineLevel="1">
      <c r="A180" s="26" t="s">
        <v>141</v>
      </c>
      <c r="B180" s="470"/>
      <c r="C180" s="1118"/>
      <c r="D180" s="1118"/>
      <c r="E180" s="1118"/>
      <c r="F180" s="1118"/>
      <c r="G180" s="1118"/>
      <c r="H180" s="471"/>
      <c r="I180" s="471"/>
      <c r="J180" s="471"/>
      <c r="K180" s="471"/>
      <c r="L180" s="1119">
        <f>L169/G169-1</f>
        <v>-1</v>
      </c>
      <c r="M180" s="308">
        <f>M169/H169-1</f>
        <v>5.6964285714285712</v>
      </c>
      <c r="N180" s="471"/>
      <c r="O180" s="471"/>
      <c r="P180" s="308">
        <f>P169/K169-1</f>
        <v>0.7384615384615385</v>
      </c>
      <c r="Q180" s="1118"/>
      <c r="R180" s="308">
        <f t="shared" si="537" ref="R180:AB180">R169/M169-1</f>
        <v>-0.25866666666666671</v>
      </c>
      <c r="S180" s="308">
        <f t="shared" si="537"/>
        <v>-0.43266475644699143</v>
      </c>
      <c r="T180" s="308">
        <f t="shared" si="537"/>
        <v>-0.49707602339181289</v>
      </c>
      <c r="U180" s="308">
        <f t="shared" si="537"/>
        <v>-0.58112094395280234</v>
      </c>
      <c r="V180" s="1119">
        <f t="shared" si="537"/>
        <v>-0.43815418644146498</v>
      </c>
      <c r="W180" s="308">
        <f t="shared" si="537"/>
        <v>-0.58992805755395683</v>
      </c>
      <c r="X180" s="308">
        <f t="shared" si="537"/>
        <v>-0.40909090909090906</v>
      </c>
      <c r="Y180" s="308">
        <f t="shared" si="537"/>
        <v>-0.30813953488372092</v>
      </c>
      <c r="Z180" s="308">
        <f t="shared" si="537"/>
        <v>-0.14084507042253525</v>
      </c>
      <c r="AA180" s="1119">
        <f t="shared" si="537"/>
        <v>-0.40173640438847924</v>
      </c>
      <c r="AB180" s="308">
        <f t="shared" si="537"/>
        <v>-0.45614035087719296</v>
      </c>
      <c r="AC180" s="471"/>
      <c r="AD180" s="471"/>
      <c r="AE180" s="471"/>
      <c r="AF180" s="1119">
        <f>AF169/AA169-1</f>
        <v>-0.87047053088511805</v>
      </c>
      <c r="AG180" s="471"/>
      <c r="AH180" s="471"/>
      <c r="AI180" s="471"/>
      <c r="AJ180" s="471"/>
      <c r="AK180" s="1118"/>
      <c r="AL180" s="471"/>
      <c r="AM180" s="471"/>
      <c r="AN180" s="471"/>
      <c r="AO180" s="471"/>
      <c r="AP180" s="1118"/>
      <c r="AQ180" s="471"/>
      <c r="AR180" s="471"/>
      <c r="AS180" s="471"/>
      <c r="AT180" s="471"/>
      <c r="AU180" s="1118"/>
      <c r="AV180" s="471"/>
      <c r="AW180" s="471"/>
      <c r="AX180" s="471"/>
      <c r="AY180" s="471"/>
      <c r="AZ180" s="1118"/>
      <c r="BA180" s="471"/>
      <c r="BB180" s="471"/>
      <c r="BC180" s="471"/>
      <c r="BD180" s="471"/>
      <c r="BE180" s="1118"/>
      <c r="BF180" s="471"/>
      <c r="BG180" s="471"/>
      <c r="BH180" s="872"/>
      <c r="BI180" s="479"/>
      <c r="BJ180" s="1120"/>
      <c r="BK180" s="479"/>
      <c r="BL180" s="479"/>
      <c r="BM180" s="479"/>
      <c r="BN180" s="479"/>
      <c r="BO180" s="1120"/>
      <c r="BP180" s="1118"/>
      <c r="BQ180" s="1118"/>
      <c r="BR180" s="1120"/>
      <c r="BS180" s="27"/>
    </row>
    <row r="181" spans="1:71" s="671" customFormat="1" ht="15" hidden="1" outlineLevel="1">
      <c r="A181" s="478" t="s">
        <v>585</v>
      </c>
      <c r="B181" s="470"/>
      <c r="C181" s="1118"/>
      <c r="D181" s="1118"/>
      <c r="E181" s="1118"/>
      <c r="F181" s="1118"/>
      <c r="G181" s="1118"/>
      <c r="H181" s="471"/>
      <c r="I181" s="471"/>
      <c r="J181" s="471"/>
      <c r="K181" s="471"/>
      <c r="L181" s="1118"/>
      <c r="M181" s="471"/>
      <c r="N181" s="471"/>
      <c r="O181" s="471"/>
      <c r="P181" s="471"/>
      <c r="Q181" s="1118"/>
      <c r="R181" s="471"/>
      <c r="S181" s="471"/>
      <c r="T181" s="471"/>
      <c r="U181" s="471"/>
      <c r="V181" s="1118"/>
      <c r="W181" s="471"/>
      <c r="X181" s="471"/>
      <c r="Y181" s="471"/>
      <c r="Z181" s="471"/>
      <c r="AA181" s="1118"/>
      <c r="AB181" s="471"/>
      <c r="AC181" s="471"/>
      <c r="AD181" s="471"/>
      <c r="AE181" s="471"/>
      <c r="AF181" s="1118"/>
      <c r="AG181" s="471">
        <f t="shared" si="538" ref="AG181:AZ181">AG170/AB170-1</f>
        <v>1.5651777575205106</v>
      </c>
      <c r="AH181" s="471">
        <f t="shared" si="538"/>
        <v>0.28590135312090781</v>
      </c>
      <c r="AI181" s="471">
        <f t="shared" si="538"/>
        <v>0.22472815142972213</v>
      </c>
      <c r="AJ181" s="471">
        <f t="shared" si="538"/>
        <v>0.21028914757791961</v>
      </c>
      <c r="AK181" s="1118">
        <f t="shared" si="538"/>
        <v>0.4060639754663784</v>
      </c>
      <c r="AL181" s="471">
        <f t="shared" si="538"/>
        <v>0.22636815920398012</v>
      </c>
      <c r="AM181" s="471">
        <f t="shared" si="538"/>
        <v>0.20298710115410734</v>
      </c>
      <c r="AN181" s="471">
        <f t="shared" si="538"/>
        <v>0.19105557382439997</v>
      </c>
      <c r="AO181" s="471">
        <f t="shared" si="538"/>
        <v>0.15482469748681349</v>
      </c>
      <c r="AP181" s="1118">
        <f t="shared" si="538"/>
        <v>0.19220776071444923</v>
      </c>
      <c r="AQ181" s="471">
        <f t="shared" si="538"/>
        <v>-0.071283685888148374</v>
      </c>
      <c r="AR181" s="471">
        <f t="shared" si="538"/>
        <v>-0.23758465011286678</v>
      </c>
      <c r="AS181" s="471">
        <f t="shared" si="538"/>
        <v>-0.23108779679734948</v>
      </c>
      <c r="AT181" s="471">
        <f t="shared" si="538"/>
        <v>-0.21440085975282108</v>
      </c>
      <c r="AU181" s="1118">
        <f t="shared" si="538"/>
        <v>-0.19031506484976746</v>
      </c>
      <c r="AV181" s="471">
        <f t="shared" si="538"/>
        <v>-0.021528861154446188</v>
      </c>
      <c r="AW181" s="471">
        <f t="shared" si="538"/>
        <v>0.2009622501850481</v>
      </c>
      <c r="AX181" s="471">
        <f t="shared" si="538"/>
        <v>0.18025134649910224</v>
      </c>
      <c r="AY181" s="471">
        <f t="shared" si="538"/>
        <v>0.14945280437756492</v>
      </c>
      <c r="AZ181" s="1118">
        <f t="shared" si="538"/>
        <v>0.12230642908377054</v>
      </c>
      <c r="BA181" s="471">
        <f t="shared" si="539" ref="BA181:BC182">BA170/AV170-1</f>
        <v>0.094706632653061229</v>
      </c>
      <c r="BB181" s="471">
        <f t="shared" si="539"/>
        <v>0.075192604006163233</v>
      </c>
      <c r="BC181" s="471">
        <f t="shared" si="539"/>
        <v>0.083967143291755475</v>
      </c>
      <c r="BD181" s="471">
        <f t="shared" si="540" ref="BD181:BF182">BD170/AY170-1</f>
        <v>0.077357929187741759</v>
      </c>
      <c r="BE181" s="1118">
        <f t="shared" si="540"/>
        <v>0.082618607729380233</v>
      </c>
      <c r="BF181" s="471">
        <f t="shared" si="540"/>
        <v>0.066705505388872766</v>
      </c>
      <c r="BG181" s="471">
        <f>BG170/BB170-1</f>
        <v>0.069074233304671884</v>
      </c>
      <c r="BH181" s="872">
        <f>BH170/BC170-1</f>
        <v>0.06455234353073247</v>
      </c>
      <c r="BI181" s="1031">
        <v>0.08</v>
      </c>
      <c r="BJ181" s="1120">
        <f>BJ170/BE170-1</f>
        <v>0.070094317609603163</v>
      </c>
      <c r="BK181" s="1031">
        <v>0.08</v>
      </c>
      <c r="BL181" s="1031">
        <v>0.08</v>
      </c>
      <c r="BM181" s="1031">
        <v>0.08</v>
      </c>
      <c r="BN181" s="1031">
        <v>0.08</v>
      </c>
      <c r="BO181" s="1120">
        <f>BO170/BJ170-1</f>
        <v>0.080088073654341008</v>
      </c>
      <c r="BP181" s="1121">
        <v>0.08</v>
      </c>
      <c r="BQ181" s="1121">
        <v>0.08</v>
      </c>
      <c r="BR181" s="1122">
        <v>0.08</v>
      </c>
      <c r="BS181" s="27"/>
    </row>
    <row r="182" spans="1:71" s="671" customFormat="1" ht="15" hidden="1" outlineLevel="1">
      <c r="A182" s="26" t="s">
        <v>142</v>
      </c>
      <c r="B182" s="470"/>
      <c r="C182" s="1118"/>
      <c r="D182" s="1118"/>
      <c r="E182" s="1119">
        <f>E171/D171-1</f>
        <v>0.02962085308056861</v>
      </c>
      <c r="F182" s="1119">
        <f>F171/E171-1</f>
        <v>0.15995397008055234</v>
      </c>
      <c r="G182" s="1119">
        <f>G171/F171-1</f>
        <v>0.37698412698412698</v>
      </c>
      <c r="H182" s="471"/>
      <c r="I182" s="471"/>
      <c r="J182" s="471"/>
      <c r="K182" s="471"/>
      <c r="L182" s="1119">
        <f t="shared" si="541" ref="L182:Q182">L171/G171-1</f>
        <v>0.37759662074138411</v>
      </c>
      <c r="M182" s="308">
        <f t="shared" si="541"/>
        <v>0.32294787297783101</v>
      </c>
      <c r="N182" s="308">
        <f t="shared" si="541"/>
        <v>0.18639380530973448</v>
      </c>
      <c r="O182" s="308">
        <f t="shared" si="541"/>
        <v>0.032258064516129004</v>
      </c>
      <c r="P182" s="308">
        <f t="shared" si="541"/>
        <v>-0.055020632737276531</v>
      </c>
      <c r="Q182" s="1119">
        <f t="shared" si="541"/>
        <v>0.10606546900925307</v>
      </c>
      <c r="R182" s="308">
        <f t="shared" si="542" ref="R182:AB182">R171/M171-1</f>
        <v>-0.019927536231884035</v>
      </c>
      <c r="S182" s="308">
        <f t="shared" si="542"/>
        <v>0.051748251748251706</v>
      </c>
      <c r="T182" s="308">
        <f t="shared" si="542"/>
        <v>0.14208984375</v>
      </c>
      <c r="U182" s="308">
        <f t="shared" si="542"/>
        <v>0.12906356137797181</v>
      </c>
      <c r="V182" s="1119">
        <f t="shared" si="542"/>
        <v>0.074198695932764958</v>
      </c>
      <c r="W182" s="308">
        <f t="shared" si="542"/>
        <v>0.065619223659889148</v>
      </c>
      <c r="X182" s="308">
        <f t="shared" si="542"/>
        <v>0.038563829787233939</v>
      </c>
      <c r="Y182" s="308">
        <f t="shared" si="542"/>
        <v>-0.04788371098760158</v>
      </c>
      <c r="Z182" s="308">
        <f t="shared" si="542"/>
        <v>-0.068328319724967779</v>
      </c>
      <c r="AA182" s="1119">
        <f t="shared" si="542"/>
        <v>-0.0049771630188585325</v>
      </c>
      <c r="AB182" s="308">
        <f t="shared" si="542"/>
        <v>-0.042931483087597533</v>
      </c>
      <c r="AC182" s="308">
        <f t="shared" si="543" ref="AC182:AZ182">AC171/X171-1</f>
        <v>-0.048655569782330321</v>
      </c>
      <c r="AD182" s="308">
        <f t="shared" si="543"/>
        <v>0.03233048944768746</v>
      </c>
      <c r="AE182" s="308">
        <f t="shared" si="543"/>
        <v>0.023985239852398532</v>
      </c>
      <c r="AF182" s="1119">
        <f t="shared" si="543"/>
        <v>-0.0095455906182697614</v>
      </c>
      <c r="AG182" s="308">
        <f t="shared" si="543"/>
        <v>-0.027639329406434099</v>
      </c>
      <c r="AH182" s="308">
        <f t="shared" si="543"/>
        <v>-0.034993270524899089</v>
      </c>
      <c r="AI182" s="308">
        <f t="shared" si="543"/>
        <v>-0.022618529795563336</v>
      </c>
      <c r="AJ182" s="308">
        <f t="shared" si="543"/>
        <v>0.1274774774774774</v>
      </c>
      <c r="AK182" s="1119">
        <f t="shared" si="543"/>
        <v>0.010601835253060132</v>
      </c>
      <c r="AL182" s="308">
        <f t="shared" si="543"/>
        <v>0.24650512581547068</v>
      </c>
      <c r="AM182" s="308">
        <f t="shared" si="543"/>
        <v>0.31148303114830322</v>
      </c>
      <c r="AN182" s="308">
        <f t="shared" si="543"/>
        <v>0.31597685803293274</v>
      </c>
      <c r="AO182" s="308">
        <f t="shared" si="543"/>
        <v>0.24051138633639635</v>
      </c>
      <c r="AP182" s="1119">
        <f t="shared" si="543"/>
        <v>0.27736287283029437</v>
      </c>
      <c r="AQ182" s="308">
        <f t="shared" si="543"/>
        <v>-0.24074766355140187</v>
      </c>
      <c r="AR182" s="308">
        <f t="shared" si="543"/>
        <v>-0.69195320808224037</v>
      </c>
      <c r="AS182" s="308">
        <f t="shared" si="543"/>
        <v>-0.6624957727426446</v>
      </c>
      <c r="AT182" s="308">
        <f t="shared" si="543"/>
        <v>-0.65958132045088569</v>
      </c>
      <c r="AU182" s="1119">
        <f t="shared" si="543"/>
        <v>-0.57255877834284186</v>
      </c>
      <c r="AV182" s="308">
        <f t="shared" si="543"/>
        <v>-0.35795174790743478</v>
      </c>
      <c r="AW182" s="308">
        <f t="shared" si="543"/>
        <v>0.69850402761795172</v>
      </c>
      <c r="AX182" s="308">
        <f t="shared" si="543"/>
        <v>0.3707414829659319</v>
      </c>
      <c r="AY182" s="308">
        <f t="shared" si="543"/>
        <v>0.27909176915799438</v>
      </c>
      <c r="AZ182" s="1119">
        <f t="shared" si="543"/>
        <v>0.11307101561443145</v>
      </c>
      <c r="BA182" s="308">
        <f t="shared" si="539"/>
        <v>0.013803680981595123</v>
      </c>
      <c r="BB182" s="308">
        <f t="shared" si="539"/>
        <v>-0.12533875338753386</v>
      </c>
      <c r="BC182" s="308">
        <f t="shared" si="539"/>
        <v>-0.057748538011695882</v>
      </c>
      <c r="BD182" s="308">
        <f t="shared" si="540"/>
        <v>-0.048076923076923128</v>
      </c>
      <c r="BE182" s="1119">
        <f t="shared" si="540"/>
        <v>-0.056708692291140395</v>
      </c>
      <c r="BF182" s="308">
        <f t="shared" si="540"/>
        <v>0.032526475037821578</v>
      </c>
      <c r="BG182" s="308">
        <f>BG171/BB171-1</f>
        <v>0.15801704105344694</v>
      </c>
      <c r="BH182" s="868">
        <f>BH171/BC171-1</f>
        <v>0.19317300232738566</v>
      </c>
      <c r="BI182" s="1031">
        <v>-0.05</v>
      </c>
      <c r="BJ182" s="1120">
        <f>BJ171/BE171-1</f>
        <v>0.083179900061978174</v>
      </c>
      <c r="BK182" s="1031">
        <v>-0.05</v>
      </c>
      <c r="BL182" s="1031">
        <v>-0.05</v>
      </c>
      <c r="BM182" s="1031">
        <v>-0.05</v>
      </c>
      <c r="BN182" s="1031">
        <v>-0.05</v>
      </c>
      <c r="BO182" s="1120">
        <f>BO171/BJ171-1</f>
        <v>-0.049925852459420161</v>
      </c>
      <c r="BP182" s="1121">
        <v>-0.05</v>
      </c>
      <c r="BQ182" s="1121">
        <v>-0.05</v>
      </c>
      <c r="BR182" s="1122">
        <v>-0.05</v>
      </c>
      <c r="BS182" s="27"/>
    </row>
    <row r="183" spans="1:71" s="671" customFormat="1" ht="15" hidden="1" outlineLevel="1">
      <c r="A183" s="26" t="s">
        <v>143</v>
      </c>
      <c r="B183" s="470"/>
      <c r="C183" s="1118"/>
      <c r="D183" s="1118"/>
      <c r="E183" s="1119">
        <f>IFERROR(E172/D172-1,"N/A")</f>
        <v>-0.044444444444444398</v>
      </c>
      <c r="F183" s="1119">
        <f>IFERROR(F172/E172-1,"N/A")</f>
        <v>-0.069767441860465129</v>
      </c>
      <c r="G183" s="1119">
        <f>IFERROR(G172/F172-1,"N/A")</f>
        <v>-0.029166666666666674</v>
      </c>
      <c r="H183" s="471"/>
      <c r="I183" s="471"/>
      <c r="J183" s="471"/>
      <c r="K183" s="471"/>
      <c r="L183" s="1119">
        <f t="shared" si="544" ref="L183:AW183">IFERROR(L172/G172-1,"N/A")</f>
        <v>-0.0011758480804279214</v>
      </c>
      <c r="M183" s="308">
        <f t="shared" si="544"/>
        <v>-0.040169133192389017</v>
      </c>
      <c r="N183" s="308">
        <f t="shared" si="544"/>
        <v>-0.040598290598290565</v>
      </c>
      <c r="O183" s="308">
        <f t="shared" si="544"/>
        <v>-0.041036717062635009</v>
      </c>
      <c r="P183" s="308">
        <f t="shared" si="544"/>
        <v>-0.078602620087336206</v>
      </c>
      <c r="Q183" s="1119">
        <f t="shared" si="544"/>
        <v>-0.050026487727352964</v>
      </c>
      <c r="R183" s="308">
        <f t="shared" si="544"/>
        <v>-0.12114537444933926</v>
      </c>
      <c r="S183" s="308">
        <f t="shared" si="544"/>
        <v>-0.12472160356347439</v>
      </c>
      <c r="T183" s="308">
        <f t="shared" si="544"/>
        <v>-0.12387387387387383</v>
      </c>
      <c r="U183" s="308">
        <f t="shared" si="544"/>
        <v>-0.085308056872037907</v>
      </c>
      <c r="V183" s="1119">
        <f t="shared" si="544"/>
        <v>-0.11407530020853884</v>
      </c>
      <c r="W183" s="308">
        <f t="shared" si="544"/>
        <v>-0.04260651629072687</v>
      </c>
      <c r="X183" s="308">
        <f t="shared" si="544"/>
        <v>-0.038167938931297662</v>
      </c>
      <c r="Y183" s="308">
        <f t="shared" si="544"/>
        <v>-0.038560411311054033</v>
      </c>
      <c r="Z183" s="308">
        <f t="shared" si="544"/>
        <v>-0.041450777202072575</v>
      </c>
      <c r="AA183" s="1119">
        <f t="shared" si="544"/>
        <v>-0.040245224703319926</v>
      </c>
      <c r="AB183" s="308">
        <f t="shared" si="544"/>
        <v>-0.04450261780104714</v>
      </c>
      <c r="AC183" s="308">
        <f t="shared" si="544"/>
        <v>-0.047619047619047672</v>
      </c>
      <c r="AD183" s="308">
        <f t="shared" si="544"/>
        <v>-0.050802139037433136</v>
      </c>
      <c r="AE183" s="308">
        <f t="shared" si="544"/>
        <v>-0.054054054054054057</v>
      </c>
      <c r="AF183" s="1119">
        <f t="shared" si="544"/>
        <v>-0.049232652704297997</v>
      </c>
      <c r="AG183" s="308">
        <f t="shared" si="544"/>
        <v>-0.052054794520547953</v>
      </c>
      <c r="AH183" s="308">
        <f t="shared" si="544"/>
        <v>-0.050000000000000044</v>
      </c>
      <c r="AI183" s="308">
        <f t="shared" si="544"/>
        <v>-0.05352112676056342</v>
      </c>
      <c r="AJ183" s="308">
        <f t="shared" si="544"/>
        <v>-0.057142857142857162</v>
      </c>
      <c r="AK183" s="1119">
        <f t="shared" si="544"/>
        <v>-0.053161646355484038</v>
      </c>
      <c r="AL183" s="308">
        <f t="shared" si="544"/>
        <v>-0.060693641618497107</v>
      </c>
      <c r="AM183" s="308">
        <f t="shared" si="544"/>
        <v>-0.067251461988304118</v>
      </c>
      <c r="AN183" s="308">
        <f t="shared" si="544"/>
        <v>-0.071428571428571397</v>
      </c>
      <c r="AO183" s="308">
        <f t="shared" si="544"/>
        <v>-0.075757575757575801</v>
      </c>
      <c r="AP183" s="1119">
        <f t="shared" si="544"/>
        <v>-0.068654889461638891</v>
      </c>
      <c r="AQ183" s="308">
        <f t="shared" si="544"/>
        <v>-0.53538461538461535</v>
      </c>
      <c r="AR183" s="308">
        <f t="shared" si="544"/>
        <v>-1</v>
      </c>
      <c r="AS183" s="308">
        <f t="shared" si="544"/>
        <v>-1</v>
      </c>
      <c r="AT183" s="308">
        <f t="shared" si="544"/>
        <v>-1</v>
      </c>
      <c r="AU183" s="1119">
        <f t="shared" si="544"/>
        <v>-0.88188030583253307</v>
      </c>
      <c r="AV183" s="308">
        <f t="shared" si="544"/>
        <v>-1</v>
      </c>
      <c r="AW183" s="308" t="str">
        <f t="shared" si="544"/>
        <v>N/A</v>
      </c>
      <c r="AX183" s="308" t="str">
        <f t="shared" si="545" ref="AX183:BA184">IFERROR(AX172/AS172-1,"N/A")</f>
        <v>N/A</v>
      </c>
      <c r="AY183" s="308" t="str">
        <f t="shared" si="545"/>
        <v>N/A</v>
      </c>
      <c r="AZ183" s="1119">
        <f t="shared" si="545"/>
        <v>-1</v>
      </c>
      <c r="BA183" s="308" t="str">
        <f t="shared" si="545"/>
        <v>N/A</v>
      </c>
      <c r="BB183" s="308" t="str">
        <f t="shared" si="546" ref="BB183:BE184">IFERROR(BB172/AW172-1,"N/A")</f>
        <v>N/A</v>
      </c>
      <c r="BC183" s="308" t="str">
        <f t="shared" si="546"/>
        <v>N/A</v>
      </c>
      <c r="BD183" s="308" t="str">
        <f t="shared" si="546"/>
        <v>N/A</v>
      </c>
      <c r="BE183" s="1119" t="str">
        <f t="shared" si="546"/>
        <v>N/A</v>
      </c>
      <c r="BF183" s="308" t="str">
        <f t="shared" si="547" ref="BF183:BH184">IFERROR(BF172/BA172-1,"N/A")</f>
        <v>N/A</v>
      </c>
      <c r="BG183" s="308" t="str">
        <f t="shared" si="547"/>
        <v>N/A</v>
      </c>
      <c r="BH183" s="868" t="str">
        <f t="shared" si="547"/>
        <v>N/A</v>
      </c>
      <c r="BI183" s="1031">
        <v>0.05</v>
      </c>
      <c r="BJ183" s="1120" t="str">
        <f>IFERROR(IFERROR(BJ172/BE172-1,"N/A"),"N/A")</f>
        <v>N/A</v>
      </c>
      <c r="BK183" s="1031">
        <v>0.05</v>
      </c>
      <c r="BL183" s="1031">
        <v>0.05</v>
      </c>
      <c r="BM183" s="1031">
        <v>0.05</v>
      </c>
      <c r="BN183" s="1031">
        <v>0.05</v>
      </c>
      <c r="BO183" s="1120" t="str">
        <f>IFERROR(IFERROR(BO172/BJ172-1,"N/A"),"N/A")</f>
        <v>N/A</v>
      </c>
      <c r="BP183" s="1121">
        <v>0.05</v>
      </c>
      <c r="BQ183" s="1121">
        <v>0.05</v>
      </c>
      <c r="BR183" s="1122">
        <v>0.05</v>
      </c>
      <c r="BS183" s="27"/>
    </row>
    <row r="184" spans="1:71" s="671" customFormat="1" ht="15" hidden="1" outlineLevel="1">
      <c r="A184" s="26" t="s">
        <v>144</v>
      </c>
      <c r="B184" s="470"/>
      <c r="C184" s="1118"/>
      <c r="D184" s="1118"/>
      <c r="E184" s="1118"/>
      <c r="F184" s="1118"/>
      <c r="G184" s="1118"/>
      <c r="H184" s="471"/>
      <c r="I184" s="471"/>
      <c r="J184" s="471"/>
      <c r="K184" s="471"/>
      <c r="L184" s="1118"/>
      <c r="M184" s="471"/>
      <c r="N184" s="471"/>
      <c r="O184" s="471"/>
      <c r="P184" s="471"/>
      <c r="Q184" s="1118"/>
      <c r="R184" s="471"/>
      <c r="S184" s="471"/>
      <c r="T184" s="471"/>
      <c r="U184" s="308">
        <f>IFERROR(U173/P173-1,"N/A")</f>
        <v>1.0414937759336098</v>
      </c>
      <c r="V184" s="1119">
        <f>IFERROR(V173/Q173-1,"N/A")</f>
        <v>2.0223438166978687</v>
      </c>
      <c r="W184" s="308">
        <f>IFERROR(W173/R173-1,"N/A")</f>
        <v>3.4190871369294609</v>
      </c>
      <c r="X184" s="471"/>
      <c r="Y184" s="471"/>
      <c r="Z184" s="308">
        <f t="shared" si="548" ref="Z184:AW184">IFERROR(Z173/U173-1,"N/A")</f>
        <v>1.7032520325203251</v>
      </c>
      <c r="AA184" s="1119">
        <f t="shared" si="548"/>
        <v>5.5064743279373971</v>
      </c>
      <c r="AB184" s="308">
        <f t="shared" si="548"/>
        <v>0.2131455399061033</v>
      </c>
      <c r="AC184" s="308">
        <f t="shared" si="548"/>
        <v>0.037865748709122293</v>
      </c>
      <c r="AD184" s="308">
        <f t="shared" si="548"/>
        <v>0.12807881773399021</v>
      </c>
      <c r="AE184" s="308">
        <f t="shared" si="548"/>
        <v>-0.29097744360902256</v>
      </c>
      <c r="AF184" s="1119">
        <f t="shared" si="548"/>
        <v>0.007298031228784696</v>
      </c>
      <c r="AG184" s="308">
        <f t="shared" si="548"/>
        <v>-0.37770897832817341</v>
      </c>
      <c r="AH184" s="308">
        <f t="shared" si="548"/>
        <v>0.10447761194029859</v>
      </c>
      <c r="AI184" s="308">
        <f t="shared" si="548"/>
        <v>0.064046579330422126</v>
      </c>
      <c r="AJ184" s="308">
        <f t="shared" si="548"/>
        <v>0.7751855779427359</v>
      </c>
      <c r="AK184" s="1119">
        <f t="shared" si="548"/>
        <v>0.097666158154784855</v>
      </c>
      <c r="AL184" s="308">
        <f t="shared" si="548"/>
        <v>0.40920398009950243</v>
      </c>
      <c r="AM184" s="308">
        <f t="shared" si="548"/>
        <v>-0.38888888888888884</v>
      </c>
      <c r="AN184" s="308">
        <f t="shared" si="548"/>
        <v>-0.1094391244870041</v>
      </c>
      <c r="AO184" s="308">
        <f t="shared" si="548"/>
        <v>-0.090800477897252097</v>
      </c>
      <c r="AP184" s="1119">
        <f t="shared" si="548"/>
        <v>-0.096026725814239322</v>
      </c>
      <c r="AQ184" s="308">
        <f t="shared" si="548"/>
        <v>-0.27184466019417475</v>
      </c>
      <c r="AR184" s="308">
        <f t="shared" si="548"/>
        <v>-1</v>
      </c>
      <c r="AS184" s="308">
        <f t="shared" si="548"/>
        <v>-1</v>
      </c>
      <c r="AT184" s="308">
        <f t="shared" si="548"/>
        <v>-1</v>
      </c>
      <c r="AU184" s="1119">
        <f t="shared" si="548"/>
        <v>-0.82962018225446132</v>
      </c>
      <c r="AV184" s="308">
        <f t="shared" si="548"/>
        <v>-1</v>
      </c>
      <c r="AW184" s="308" t="str">
        <f t="shared" si="548"/>
        <v>N/A</v>
      </c>
      <c r="AX184" s="308" t="str">
        <f t="shared" si="545"/>
        <v>N/A</v>
      </c>
      <c r="AY184" s="308" t="str">
        <f t="shared" si="545"/>
        <v>N/A</v>
      </c>
      <c r="AZ184" s="1119">
        <f t="shared" si="545"/>
        <v>-1</v>
      </c>
      <c r="BA184" s="308" t="str">
        <f t="shared" si="545"/>
        <v>N/A</v>
      </c>
      <c r="BB184" s="308" t="str">
        <f t="shared" si="546"/>
        <v>N/A</v>
      </c>
      <c r="BC184" s="308" t="str">
        <f t="shared" si="546"/>
        <v>N/A</v>
      </c>
      <c r="BD184" s="308" t="str">
        <f t="shared" si="546"/>
        <v>N/A</v>
      </c>
      <c r="BE184" s="1119" t="str">
        <f t="shared" si="546"/>
        <v>N/A</v>
      </c>
      <c r="BF184" s="308" t="str">
        <f t="shared" si="547"/>
        <v>N/A</v>
      </c>
      <c r="BG184" s="308" t="str">
        <f t="shared" si="547"/>
        <v>N/A</v>
      </c>
      <c r="BH184" s="868" t="str">
        <f t="shared" si="547"/>
        <v>N/A</v>
      </c>
      <c r="BI184" s="1031">
        <v>0.60</v>
      </c>
      <c r="BJ184" s="1120" t="str">
        <f>IFERROR(IFERROR(BJ173/BE173-1,"N/A"),"N/A")</f>
        <v>N/A</v>
      </c>
      <c r="BK184" s="1031">
        <v>0.60</v>
      </c>
      <c r="BL184" s="1031">
        <v>0.60</v>
      </c>
      <c r="BM184" s="1031">
        <v>0.60</v>
      </c>
      <c r="BN184" s="1031">
        <v>0.60</v>
      </c>
      <c r="BO184" s="1120" t="str">
        <f>IFERROR(IFERROR(BO173/BJ173-1,"N/A"),"N/A")</f>
        <v>N/A</v>
      </c>
      <c r="BP184" s="1121">
        <v>0.10000000000000001</v>
      </c>
      <c r="BQ184" s="1121">
        <v>0.10000000000000001</v>
      </c>
      <c r="BR184" s="1122">
        <v>0.10000000000000001</v>
      </c>
      <c r="BS184" s="27"/>
    </row>
    <row r="185" spans="1:71" s="671" customFormat="1" ht="15" hidden="1" outlineLevel="1">
      <c r="A185" s="45" t="s">
        <v>145</v>
      </c>
      <c r="B185" s="472"/>
      <c r="C185" s="1123"/>
      <c r="D185" s="1123"/>
      <c r="E185" s="1124">
        <f t="shared" si="549" ref="E185:G186">E174/D174-1</f>
        <v>0.014268727705113005</v>
      </c>
      <c r="F185" s="1124">
        <f t="shared" si="549"/>
        <v>0.12075029308323559</v>
      </c>
      <c r="G185" s="1124">
        <f t="shared" si="549"/>
        <v>0.30334728033472813</v>
      </c>
      <c r="H185" s="473"/>
      <c r="I185" s="473"/>
      <c r="J185" s="473"/>
      <c r="K185" s="473"/>
      <c r="L185" s="1124">
        <f t="shared" si="550" ref="L185:U186">L174/G174-1</f>
        <v>0.22443325490885901</v>
      </c>
      <c r="M185" s="42">
        <f t="shared" si="550"/>
        <v>0.18574366004112397</v>
      </c>
      <c r="N185" s="42">
        <f t="shared" si="550"/>
        <v>0.19682959048877136</v>
      </c>
      <c r="O185" s="42">
        <f t="shared" si="550"/>
        <v>0.11783854166666674</v>
      </c>
      <c r="P185" s="42">
        <f t="shared" si="550"/>
        <v>-0.020728643216080367</v>
      </c>
      <c r="Q185" s="1124">
        <f t="shared" si="550"/>
        <v>0.11694860467622026</v>
      </c>
      <c r="R185" s="42">
        <f t="shared" si="550"/>
        <v>0.065317919075144504</v>
      </c>
      <c r="S185" s="42">
        <f t="shared" si="550"/>
        <v>0.30408388520971297</v>
      </c>
      <c r="T185" s="42">
        <f t="shared" si="550"/>
        <v>0.56144437973209094</v>
      </c>
      <c r="U185" s="42">
        <f t="shared" si="550"/>
        <v>0.568313021167415</v>
      </c>
      <c r="V185" s="1124">
        <f t="shared" si="551" ref="V185:AE186">V174/Q174-1</f>
        <v>0.3698161740002941</v>
      </c>
      <c r="W185" s="42">
        <f t="shared" si="551"/>
        <v>0.15029842647856761</v>
      </c>
      <c r="X185" s="42">
        <f t="shared" si="551"/>
        <v>-0.063055438002539099</v>
      </c>
      <c r="Y185" s="42">
        <f t="shared" si="551"/>
        <v>-0.11712047743379339</v>
      </c>
      <c r="Z185" s="42">
        <f t="shared" si="551"/>
        <v>0.042944785276073594</v>
      </c>
      <c r="AA185" s="1124">
        <f t="shared" si="551"/>
        <v>-0.0086452004799872917</v>
      </c>
      <c r="AB185" s="42">
        <f t="shared" si="551"/>
        <v>-0.25518867924528299</v>
      </c>
      <c r="AC185" s="42">
        <f t="shared" si="551"/>
        <v>-0.75609756097560976</v>
      </c>
      <c r="AD185" s="42">
        <f t="shared" si="551"/>
        <v>-0.76594845796366706</v>
      </c>
      <c r="AE185" s="42">
        <f t="shared" si="551"/>
        <v>-0.78470588235294114</v>
      </c>
      <c r="AF185" s="1124">
        <f t="shared" si="552" ref="AF185:AO186">AF174/AA174-1</f>
        <v>-0.65343022691377839</v>
      </c>
      <c r="AG185" s="42">
        <f t="shared" si="552"/>
        <v>-0.66497783407219757</v>
      </c>
      <c r="AH185" s="42">
        <f t="shared" si="552"/>
        <v>-0.012962962962962954</v>
      </c>
      <c r="AI185" s="42">
        <f t="shared" si="552"/>
        <v>-0.016245487364620947</v>
      </c>
      <c r="AJ185" s="42">
        <f t="shared" si="552"/>
        <v>0.005464480874316946</v>
      </c>
      <c r="AK185" s="1124">
        <f t="shared" si="552"/>
        <v>-0.32688930945662498</v>
      </c>
      <c r="AL185" s="42">
        <f t="shared" si="552"/>
        <v>0.054820415879017093</v>
      </c>
      <c r="AM185" s="42">
        <f t="shared" si="552"/>
        <v>0.048780487804878092</v>
      </c>
      <c r="AN185" s="42">
        <f t="shared" si="552"/>
        <v>0.016513761467889854</v>
      </c>
      <c r="AO185" s="42">
        <f t="shared" si="552"/>
        <v>-0.0018115942028985588</v>
      </c>
      <c r="AP185" s="1124">
        <f t="shared" si="553" ref="AP185:AY186">AP174/AK174-1</f>
        <v>0.029002250305488753</v>
      </c>
      <c r="AQ185" s="42">
        <f t="shared" si="553"/>
        <v>-0.11469534050179209</v>
      </c>
      <c r="AR185" s="42">
        <f t="shared" si="553"/>
        <v>-0.2558139534883721</v>
      </c>
      <c r="AS185" s="42">
        <f t="shared" si="553"/>
        <v>-0.35198555956678701</v>
      </c>
      <c r="AT185" s="42">
        <f t="shared" si="553"/>
        <v>-0.43557168784029043</v>
      </c>
      <c r="AU185" s="1124">
        <f t="shared" si="553"/>
        <v>-0.28998804763239827</v>
      </c>
      <c r="AV185" s="42">
        <f t="shared" si="553"/>
        <v>-0.38056680161943324</v>
      </c>
      <c r="AW185" s="42">
        <f t="shared" si="553"/>
        <v>-0.30769230769230771</v>
      </c>
      <c r="AX185" s="42">
        <f t="shared" si="553"/>
        <v>-0.2674094707520891</v>
      </c>
      <c r="AY185" s="42">
        <f t="shared" si="553"/>
        <v>-0.17041800643086813</v>
      </c>
      <c r="AZ185" s="1124">
        <f t="shared" si="554" ref="AZ185:BA186">AZ174/AU174-1</f>
        <v>-0.29367306677040206</v>
      </c>
      <c r="BA185" s="42">
        <f t="shared" si="554"/>
        <v>-0.16993464052287577</v>
      </c>
      <c r="BB185" s="42">
        <f t="shared" si="555" ref="BB185:BE186">BB174/AW174-1</f>
        <v>-0.11111111111111116</v>
      </c>
      <c r="BC185" s="42">
        <f t="shared" si="555"/>
        <v>-0.0038022813688213253</v>
      </c>
      <c r="BD185" s="42">
        <f t="shared" si="555"/>
        <v>0.015503875968992276</v>
      </c>
      <c r="BE185" s="1124">
        <f t="shared" si="555"/>
        <v>-0.071951219512195075</v>
      </c>
      <c r="BF185" s="42">
        <f t="shared" si="556" ref="BF185:BH186">BF174/BA174-1</f>
        <v>0.015748031496062964</v>
      </c>
      <c r="BG185" s="42">
        <f t="shared" si="556"/>
        <v>0.078125</v>
      </c>
      <c r="BH185" s="869">
        <f t="shared" si="556"/>
        <v>0.12977099236641232</v>
      </c>
      <c r="BI185" s="1034">
        <v>0.14999999999999999</v>
      </c>
      <c r="BJ185" s="1123">
        <f>BJ174/BE174-1</f>
        <v>0.094301730793418637</v>
      </c>
      <c r="BK185" s="1034">
        <v>0.14999999999999999</v>
      </c>
      <c r="BL185" s="1034">
        <v>0.14999999999999999</v>
      </c>
      <c r="BM185" s="1034">
        <v>0.14999999999999999</v>
      </c>
      <c r="BN185" s="1034">
        <v>0.14999999999999999</v>
      </c>
      <c r="BO185" s="1123">
        <f>BO174/BJ174-1</f>
        <v>0.15027743028126261</v>
      </c>
      <c r="BP185" s="1125">
        <v>0.14999999999999999</v>
      </c>
      <c r="BQ185" s="1125">
        <v>0.14999999999999999</v>
      </c>
      <c r="BR185" s="1125">
        <v>0.14999999999999999</v>
      </c>
      <c r="BS185" s="27"/>
    </row>
    <row r="186" spans="1:71" s="670" customFormat="1" ht="15" hidden="1" outlineLevel="1">
      <c r="A186" s="25" t="s">
        <v>146</v>
      </c>
      <c r="B186" s="476"/>
      <c r="C186" s="1128"/>
      <c r="D186" s="1128"/>
      <c r="E186" s="1129">
        <f t="shared" si="549"/>
        <v>0.13871079966204469</v>
      </c>
      <c r="F186" s="1129">
        <f t="shared" si="549"/>
        <v>0.11288844273743015</v>
      </c>
      <c r="G186" s="1129">
        <f t="shared" si="549"/>
        <v>0.10630037061003583</v>
      </c>
      <c r="H186" s="477"/>
      <c r="I186" s="477"/>
      <c r="J186" s="477"/>
      <c r="K186" s="477"/>
      <c r="L186" s="1129">
        <f t="shared" si="550"/>
        <v>0.14872791497127369</v>
      </c>
      <c r="M186" s="309">
        <f t="shared" si="550"/>
        <v>0.17371334159438256</v>
      </c>
      <c r="N186" s="309">
        <f t="shared" si="550"/>
        <v>0.14190443235081318</v>
      </c>
      <c r="O186" s="309">
        <f t="shared" si="550"/>
        <v>0.10662780915755321</v>
      </c>
      <c r="P186" s="309">
        <f t="shared" si="550"/>
        <v>0.073441229551143961</v>
      </c>
      <c r="Q186" s="1129">
        <f t="shared" si="550"/>
        <v>0.12291092974670326</v>
      </c>
      <c r="R186" s="309">
        <f t="shared" si="550"/>
        <v>0.051844761328284417</v>
      </c>
      <c r="S186" s="309">
        <f t="shared" si="550"/>
        <v>0.064696969696969697</v>
      </c>
      <c r="T186" s="309">
        <f t="shared" si="550"/>
        <v>0.075896614448999644</v>
      </c>
      <c r="U186" s="309">
        <f t="shared" si="550"/>
        <v>0.077799170214496893</v>
      </c>
      <c r="V186" s="1129">
        <f t="shared" si="551"/>
        <v>0.067695769677873274</v>
      </c>
      <c r="W186" s="309">
        <f t="shared" si="551"/>
        <v>0.08115414469634108</v>
      </c>
      <c r="X186" s="309">
        <f t="shared" si="551"/>
        <v>0.087131454002095765</v>
      </c>
      <c r="Y186" s="309">
        <f t="shared" si="551"/>
        <v>0.078466255346530955</v>
      </c>
      <c r="Z186" s="309">
        <f t="shared" si="551"/>
        <v>0.089593921400895615</v>
      </c>
      <c r="AA186" s="1129">
        <f t="shared" si="551"/>
        <v>0.084235450139227952</v>
      </c>
      <c r="AB186" s="309">
        <f t="shared" si="551"/>
        <v>0.089297650583021859</v>
      </c>
      <c r="AC186" s="309">
        <f t="shared" si="551"/>
        <v>0.062202494287890264</v>
      </c>
      <c r="AD186" s="309">
        <f t="shared" si="551"/>
        <v>0.062298188965323575</v>
      </c>
      <c r="AE186" s="309">
        <f t="shared" si="551"/>
        <v>0.071593506823377284</v>
      </c>
      <c r="AF186" s="1129">
        <f t="shared" si="552"/>
        <v>0.071067116506143391</v>
      </c>
      <c r="AG186" s="309">
        <f t="shared" si="552"/>
        <v>0.091170454545454582</v>
      </c>
      <c r="AH186" s="309">
        <f t="shared" si="552"/>
        <v>0.11555137297079288</v>
      </c>
      <c r="AI186" s="309">
        <f t="shared" si="552"/>
        <v>0.12385326152795684</v>
      </c>
      <c r="AJ186" s="309">
        <f t="shared" si="552"/>
        <v>0.1253784409847547</v>
      </c>
      <c r="AK186" s="1129">
        <f t="shared" si="552"/>
        <v>0.11434195972636152</v>
      </c>
      <c r="AL186" s="309">
        <f t="shared" si="552"/>
        <v>0.088135134290742823</v>
      </c>
      <c r="AM186" s="309">
        <f t="shared" si="552"/>
        <v>0.060438070561296797</v>
      </c>
      <c r="AN186" s="309">
        <f t="shared" si="552"/>
        <v>0.062089037404333247</v>
      </c>
      <c r="AO186" s="309">
        <f t="shared" si="552"/>
        <v>-0.0040209857159269058</v>
      </c>
      <c r="AP186" s="1129">
        <f t="shared" si="553"/>
        <v>0.050473657358066193</v>
      </c>
      <c r="AQ186" s="309">
        <f t="shared" si="553"/>
        <v>-0.40756656394158064</v>
      </c>
      <c r="AR186" s="309">
        <f t="shared" si="553"/>
        <v>-0.76353098275421205</v>
      </c>
      <c r="AS186" s="309">
        <f t="shared" si="553"/>
        <v>-0.75721284703320635</v>
      </c>
      <c r="AT186" s="309">
        <f t="shared" si="553"/>
        <v>-0.73884958474315598</v>
      </c>
      <c r="AU186" s="1129">
        <f t="shared" si="553"/>
        <v>-0.66893815426745196</v>
      </c>
      <c r="AV186" s="309">
        <f t="shared" si="553"/>
        <v>-0.54711555548375634</v>
      </c>
      <c r="AW186" s="309">
        <f t="shared" si="553"/>
        <v>0.1102166686691497</v>
      </c>
      <c r="AX186" s="309">
        <f t="shared" si="553"/>
        <v>0.019571330850497892</v>
      </c>
      <c r="AY186" s="309">
        <f t="shared" si="553"/>
        <v>0</v>
      </c>
      <c r="AZ186" s="1129">
        <f t="shared" si="554"/>
        <v>-0.21547331464844643</v>
      </c>
      <c r="BA186" s="309">
        <f t="shared" si="554"/>
        <v>-0.028536776771063699</v>
      </c>
      <c r="BB186" s="309">
        <f t="shared" si="555"/>
        <v>-0.022582157930810531</v>
      </c>
      <c r="BC186" s="309">
        <f t="shared" si="555"/>
        <v>0.0091319095009132489</v>
      </c>
      <c r="BD186" s="309">
        <f t="shared" si="555"/>
        <v>0.016305948174322626</v>
      </c>
      <c r="BE186" s="1129">
        <f t="shared" si="555"/>
        <v>-0.0065582152706451513</v>
      </c>
      <c r="BF186" s="309">
        <f t="shared" si="556"/>
        <v>0.035653961959315472</v>
      </c>
      <c r="BG186" s="309">
        <f t="shared" si="556"/>
        <v>0.044731500276803837</v>
      </c>
      <c r="BH186" s="871">
        <f t="shared" si="556"/>
        <v>0.054849671271330447</v>
      </c>
      <c r="BI186" s="752">
        <f>BI175/BD175-1</f>
        <v>0.029947846872623307</v>
      </c>
      <c r="BJ186" s="1130">
        <f>BJ175/BE175-1</f>
        <v>0.041235859966170185</v>
      </c>
      <c r="BK186" s="752">
        <f>BK175/BF175-1</f>
        <v>0.029705725935117888</v>
      </c>
      <c r="BL186" s="752">
        <f>BL175/BG175-1</f>
        <v>0.029406153954852243</v>
      </c>
      <c r="BM186" s="752">
        <f>BM175/BH175-1</f>
        <v>0.029347316082495745</v>
      </c>
      <c r="BN186" s="752">
        <f>BN175/BI175-1</f>
        <v>0.030897260661743919</v>
      </c>
      <c r="BO186" s="1130">
        <f>BO175/BJ175-1</f>
        <v>0.029858463185385764</v>
      </c>
      <c r="BP186" s="1128">
        <f>BP175/BO175-1</f>
        <v>0.030862230565371851</v>
      </c>
      <c r="BQ186" s="1128">
        <f>BQ175/BP175-1</f>
        <v>0.031838381796165605</v>
      </c>
      <c r="BR186" s="1130">
        <f>BR175/BQ175-1</f>
        <v>0.032811891603160559</v>
      </c>
      <c r="BS186" s="29"/>
    </row>
    <row r="187" spans="1:71" s="671" customFormat="1" ht="15" hidden="1" outlineLevel="1">
      <c r="A187" s="478"/>
      <c r="B187" s="503"/>
      <c r="C187" s="1163"/>
      <c r="D187" s="1163"/>
      <c r="E187" s="1163"/>
      <c r="F187" s="1163"/>
      <c r="G187" s="1163"/>
      <c r="H187" s="494"/>
      <c r="I187" s="494"/>
      <c r="J187" s="494"/>
      <c r="K187" s="494"/>
      <c r="L187" s="1163"/>
      <c r="M187" s="494"/>
      <c r="N187" s="494"/>
      <c r="O187" s="494"/>
      <c r="P187" s="494"/>
      <c r="Q187" s="1163"/>
      <c r="R187" s="494"/>
      <c r="S187" s="494"/>
      <c r="T187" s="494"/>
      <c r="U187" s="494"/>
      <c r="V187" s="1163"/>
      <c r="W187" s="494"/>
      <c r="X187" s="494"/>
      <c r="Y187" s="494"/>
      <c r="Z187" s="494"/>
      <c r="AA187" s="1163"/>
      <c r="AB187" s="494"/>
      <c r="AC187" s="494"/>
      <c r="AD187" s="494"/>
      <c r="AE187" s="494"/>
      <c r="AF187" s="1163"/>
      <c r="AG187" s="494"/>
      <c r="AH187" s="494"/>
      <c r="AI187" s="494"/>
      <c r="AJ187" s="494"/>
      <c r="AK187" s="1163"/>
      <c r="AL187" s="494"/>
      <c r="AM187" s="494"/>
      <c r="AN187" s="494"/>
      <c r="AO187" s="494"/>
      <c r="AP187" s="1163"/>
      <c r="AQ187" s="494"/>
      <c r="AR187" s="494"/>
      <c r="AS187" s="494"/>
      <c r="AT187" s="494"/>
      <c r="AU187" s="1163"/>
      <c r="AV187" s="494"/>
      <c r="AW187" s="494"/>
      <c r="AX187" s="494"/>
      <c r="AY187" s="494"/>
      <c r="AZ187" s="1163"/>
      <c r="BA187" s="494"/>
      <c r="BB187" s="494"/>
      <c r="BC187" s="494"/>
      <c r="BD187" s="494"/>
      <c r="BE187" s="1163"/>
      <c r="BF187" s="494"/>
      <c r="BG187" s="494"/>
      <c r="BH187" s="866"/>
      <c r="BI187" s="504"/>
      <c r="BJ187" s="1165"/>
      <c r="BK187" s="504"/>
      <c r="BL187" s="504"/>
      <c r="BM187" s="504"/>
      <c r="BN187" s="504"/>
      <c r="BO187" s="1165"/>
      <c r="BP187" s="1163"/>
      <c r="BQ187" s="1163"/>
      <c r="BR187" s="1165"/>
      <c r="BS187" s="27"/>
    </row>
    <row r="188" spans="1:71" s="678" customFormat="1" ht="15" hidden="1" outlineLevel="1">
      <c r="A188" s="443" t="s">
        <v>147</v>
      </c>
      <c r="B188" s="505"/>
      <c r="C188" s="1187"/>
      <c r="D188" s="1187"/>
      <c r="E188" s="1187"/>
      <c r="F188" s="1188">
        <f>F194/(F166+F167)</f>
        <v>0.052092704451013154</v>
      </c>
      <c r="G188" s="1188">
        <f>G194/(G166+G167)*(G$3/G$3)</f>
        <v>0.0484765625</v>
      </c>
      <c r="H188" s="445">
        <f>H194/(H166+H167)*(L$3/H$3)</f>
        <v>0.048713145263982759</v>
      </c>
      <c r="I188" s="445">
        <f>I194/(I166+I167)*(L$3/I$3)</f>
        <v>0.04755390528304345</v>
      </c>
      <c r="J188" s="445">
        <f>J194/(J166+J167)*(L$3/J$3)</f>
        <v>0.045502794395752923</v>
      </c>
      <c r="K188" s="445">
        <f>K194/(K166+K167)*(L$3/K$3)</f>
        <v>0.044652323551959812</v>
      </c>
      <c r="L188" s="1188">
        <f>L194/(L166+L167)*(L$3/L$3)</f>
        <v>0.046519831496173294</v>
      </c>
      <c r="M188" s="445">
        <f>M194/(M166+M167)*(Q$3/M$3)</f>
        <v>0.045146520629198002</v>
      </c>
      <c r="N188" s="445">
        <f>N194/(N166+N167)*(Q$3/N$3)</f>
        <v>0.044580303919606178</v>
      </c>
      <c r="O188" s="445">
        <f>O194/(O166+O167)*(Q$3/O$3)</f>
        <v>0.044535505069891554</v>
      </c>
      <c r="P188" s="445">
        <f>P194/(P166+P167)*(Q$3/P$3)</f>
        <v>0.045619493161445555</v>
      </c>
      <c r="Q188" s="1188">
        <f>Q194/(Q166+Q167)*(Q$3/Q$3)</f>
        <v>0.044970477174572379</v>
      </c>
      <c r="R188" s="445">
        <f>R194/(R166+R167)*(V$3/R$3)</f>
        <v>0.04425454020704965</v>
      </c>
      <c r="S188" s="445">
        <f>S194/(S166+S167)*(V$3/S$3)</f>
        <v>0.044365831189612653</v>
      </c>
      <c r="T188" s="445">
        <f>T194/(T166+T167)*(V$3/T$3)</f>
        <v>0.042569322690284697</v>
      </c>
      <c r="U188" s="445">
        <f>U194/(U166+U167)*(V$3/U$3)</f>
        <v>0.043248699098677713</v>
      </c>
      <c r="V188" s="1188">
        <f>V194/(V166+V167)*(V$3/V$3)</f>
        <v>0.043592308819949195</v>
      </c>
      <c r="W188" s="445">
        <f>W194/(W166+W167)*(AA$3/W$3)</f>
        <v>0.043994844003210104</v>
      </c>
      <c r="X188" s="445">
        <f>X194/(X166+X167)*(AA$3/X$3)</f>
        <v>0.042657521963155649</v>
      </c>
      <c r="Y188" s="445">
        <f>Y194/(Y166+Y167)*(AA$3/Y$3)</f>
        <v>0.042277919729009475</v>
      </c>
      <c r="Z188" s="445">
        <f>Z194/(Z166+Z167)*(AA$3/Z$3)</f>
        <v>0.042926972692858986</v>
      </c>
      <c r="AA188" s="1188">
        <f>AA194/(AA166+AA167)*(AA$3/AA$3)</f>
        <v>0.042946128346729097</v>
      </c>
      <c r="AB188" s="445">
        <f>AB194/(AB166+AB167)*(AF$3/AB$3)</f>
        <v>0.042836714579523379</v>
      </c>
      <c r="AC188" s="445">
        <f>AC194/(AC166+AC167)*(AF$3/AC$3)</f>
        <v>0.043726729827653056</v>
      </c>
      <c r="AD188" s="445">
        <f>AD194/(AD166+AD167)*(AF$3/AD$3)</f>
        <v>0.043569414813384007</v>
      </c>
      <c r="AE188" s="445">
        <f>AE194/(AE166+AE167)*(AF$3/AE$3)</f>
        <v>0.044173552346193461</v>
      </c>
      <c r="AF188" s="1188">
        <f>AF194/(AF166+AF167)*(AF$3/AF$3)</f>
        <v>0.043588958377936561</v>
      </c>
      <c r="AG188" s="445">
        <f>AG194/(AG166+AG167)*(AK$3/AG$3)</f>
        <v>0.044419793450620165</v>
      </c>
      <c r="AH188" s="445">
        <f>AH194/(AH166+AH167)*(AK$3/AH$3)</f>
        <v>0.043399342355812914</v>
      </c>
      <c r="AI188" s="445">
        <f>AI194/(AI166+AI167)*(AK$3/AI$3)</f>
        <v>0.041680269600124241</v>
      </c>
      <c r="AJ188" s="445">
        <f>AJ194/(AJ166+AJ167)*(AK$3/AJ$3)</f>
        <v>0.042414509818895968</v>
      </c>
      <c r="AK188" s="1188">
        <f>AK194/(AK166+AK167)*(AK$3/AK$3)</f>
        <v>0.042944914940529613</v>
      </c>
      <c r="AL188" s="445">
        <f>AL194/(AL166+AL167)*(AP$3/AL$3)</f>
        <v>0.0071041314363733806</v>
      </c>
      <c r="AM188" s="445">
        <f>AM194/(AM166+AM167)*(AP$3/AM$3)</f>
        <v>0.0065631548788807744</v>
      </c>
      <c r="AN188" s="445">
        <f>AN194/(AN166+AN167)*(AP$3/AN$3)</f>
        <v>0.0060234173368370362</v>
      </c>
      <c r="AO188" s="445">
        <f>AO194/(AO166+AO167)*(AP$3/AO$3)</f>
        <v>0.0061700020039566266</v>
      </c>
      <c r="AP188" s="1188">
        <f>AP194/(AP166+AP167)*(AP$3/AP$3)</f>
        <v>0.0064603618631029298</v>
      </c>
      <c r="AQ188" s="445">
        <f>AQ194/(AQ166+AQ167)*(AU$3/AQ$3)</f>
        <v>0.011105195101544079</v>
      </c>
      <c r="AR188" s="606">
        <f>AR194/(AR166+AR167)*(AU$3/AR$3)</f>
        <v>0.030282725191758904</v>
      </c>
      <c r="AS188" s="445">
        <f>AS194/(AS166+AS167)*(AU$3/AS$3)</f>
        <v>0.028655344337329705</v>
      </c>
      <c r="AT188" s="445">
        <f>AT194/(AT166+AT167)*(AU$3/AT$3)</f>
        <v>0.027793250344742702</v>
      </c>
      <c r="AU188" s="1188">
        <f>AU194/(AU166+AU167)*(AU$3/AU$3)</f>
        <v>0.02066248192032832</v>
      </c>
      <c r="AV188" s="445">
        <f>AV194/(AV166+AV167)*(AZ$3/AV$3)</f>
        <v>0.030573355111613684</v>
      </c>
      <c r="AW188" s="606">
        <f>AW194/(AW166+AW167)*(AZ$3/AW$3)</f>
        <v>0.033002668402697444</v>
      </c>
      <c r="AX188" s="445">
        <f>AX194/(AX166+AX167)*(AZ$3/AX$3)</f>
        <v>0.039103323727857485</v>
      </c>
      <c r="AY188" s="445">
        <f>AY194/(AY166+AY167)*(AZ$3/AY$3)</f>
        <v>0.044407430775227019</v>
      </c>
      <c r="AZ188" s="1188">
        <f>AZ194/(AZ166+AZ167)*(AZ$3/AZ$3)</f>
        <v>0.036707971158404767</v>
      </c>
      <c r="BA188" s="445">
        <f>BA194/(BA166+BA167)*(BE$3/BA$3)</f>
        <v>0.048970928666083803</v>
      </c>
      <c r="BB188" s="606">
        <f>BB194/(BB166+BB167)*(BE$3/BB$3)</f>
        <v>0.052536075632611152</v>
      </c>
      <c r="BC188" s="445">
        <f>BC194/(BC166+BC167)*(BE$3/BC$3)</f>
        <v>0.045842753077116299</v>
      </c>
      <c r="BD188" s="445">
        <f>BD194/(BD166+BD167)*(BE$3/BD$3)</f>
        <v>0.050913818658852389</v>
      </c>
      <c r="BE188" s="1188">
        <f>BE194/(BE166+BE167)*(BE$3/BE$3)</f>
        <v>0.049571099152404569</v>
      </c>
      <c r="BF188" s="445">
        <f>BF194/(BF166+BF167)*(BJ$3/BF$3)</f>
        <v>0.05166763061499903</v>
      </c>
      <c r="BG188" s="606">
        <f>BG194/(BG166+BG167)*(BJ$3/BG$3)</f>
        <v>0.052877278842767744</v>
      </c>
      <c r="BH188" s="941">
        <f>BH194/(BH166+BH167)*(BJ$3/BH$3)</f>
        <v>0.054769548892637535</v>
      </c>
      <c r="BI188" s="1061">
        <v>0.05</v>
      </c>
      <c r="BJ188" s="1189">
        <f>BJ194/(BJ166+BJ167)</f>
        <v>0.052320794141896533</v>
      </c>
      <c r="BK188" s="1061">
        <v>0.05</v>
      </c>
      <c r="BL188" s="1061">
        <v>0.05</v>
      </c>
      <c r="BM188" s="1061">
        <v>0.05</v>
      </c>
      <c r="BN188" s="1061">
        <v>0.05</v>
      </c>
      <c r="BO188" s="1189">
        <f>BO194/(BO166+BO167)</f>
        <v>0.05000000000000001</v>
      </c>
      <c r="BP188" s="1190">
        <v>0.05</v>
      </c>
      <c r="BQ188" s="1190">
        <v>0.05</v>
      </c>
      <c r="BR188" s="1191">
        <v>0.05</v>
      </c>
      <c r="BS188" s="448"/>
    </row>
    <row r="189" spans="1:71" s="678" customFormat="1" ht="15" hidden="1" outlineLevel="1">
      <c r="A189" s="443" t="s">
        <v>148</v>
      </c>
      <c r="B189" s="505"/>
      <c r="C189" s="1187"/>
      <c r="D189" s="1187"/>
      <c r="E189" s="1187"/>
      <c r="F189" s="1188">
        <f>F195/(F168+F169)</f>
        <v>0.038564542046063202</v>
      </c>
      <c r="G189" s="1188">
        <f>G195/(G168+G169)*(G$3/G$3)</f>
        <v>0.047214353163361665</v>
      </c>
      <c r="H189" s="445">
        <f>H195/(H168+H169)*(L$3/H$3)</f>
        <v>0.052414288278585533</v>
      </c>
      <c r="I189" s="445">
        <f>I195/(I168+I169)*(L$3/I$3)</f>
        <v>0.046336335144999401</v>
      </c>
      <c r="J189" s="445">
        <f>J195/(J168+J169)*(L$3/J$3)</f>
        <v>0.043079919151384607</v>
      </c>
      <c r="K189" s="445">
        <f>K195/(K168+K169)*(L$3/K$3)</f>
        <v>0.045055547935811277</v>
      </c>
      <c r="L189" s="1188">
        <f>L195/(L168+L169)*(L$3/L$3)</f>
        <v>0.04748229515499254</v>
      </c>
      <c r="M189" s="445">
        <f>M195/(M168+M169)*(Q$3/M$3)</f>
        <v>0.040484113003196973</v>
      </c>
      <c r="N189" s="445">
        <f>N195/(N168+N169)*(Q$3/N$3)</f>
        <v>0.039945409013950314</v>
      </c>
      <c r="O189" s="445">
        <f>O195/(O168+O169)*(Q$3/O$3)</f>
        <v>0.044892688026566631</v>
      </c>
      <c r="P189" s="445">
        <f>P195/(P168+P169)*(Q$3/P$3)</f>
        <v>0.049173300673606861</v>
      </c>
      <c r="Q189" s="1188">
        <f>Q195/(Q168+Q169)*(Q$3/Q$3)</f>
        <v>0.043718292811697715</v>
      </c>
      <c r="R189" s="445">
        <f>R195/(R168+R169)*(V$3/R$3)</f>
        <v>0.045392089348133303</v>
      </c>
      <c r="S189" s="445">
        <f>S195/(S168+S169)*(V$3/S$3)</f>
        <v>0.050180636581135647</v>
      </c>
      <c r="T189" s="445">
        <f>T195/(T168+T169)*(V$3/T$3)</f>
        <v>0.049774924861622993</v>
      </c>
      <c r="U189" s="445">
        <f>U195/(U168+U169)*(V$3/U$3)</f>
        <v>0.054752417347785291</v>
      </c>
      <c r="V189" s="1188">
        <f>V195/(V168+V169)*(V$3/V$3)</f>
        <v>0.049976778313389092</v>
      </c>
      <c r="W189" s="445">
        <f>W195/(W168+W169)*(AA$3/W$3)</f>
        <v>0.053312467396974435</v>
      </c>
      <c r="X189" s="445">
        <f>X195/(X168+X169)*(AA$3/X$3)</f>
        <v>0.046511315965084656</v>
      </c>
      <c r="Y189" s="445">
        <f>Y195/(Y168+Y169)*(AA$3/Y$3)</f>
        <v>0.041137939721813385</v>
      </c>
      <c r="Z189" s="445">
        <f>Z195/(Z168+Z169)*(AA$3/Z$3)</f>
        <v>0.052882525716844701</v>
      </c>
      <c r="AA189" s="1188">
        <f>AA195/(AA168+AA169)*(AA$3/AA$3)</f>
        <v>0.048416738238141174</v>
      </c>
      <c r="AB189" s="445">
        <f>AB195/(AB168+AB169)*(AF$3/AB$3)</f>
        <v>0.044695797886053101</v>
      </c>
      <c r="AC189" s="445">
        <f>AC195/(AC168+AC169)*(AF$3/AC$3)</f>
        <v>0.078801355815108262</v>
      </c>
      <c r="AD189" s="445">
        <f>AD195/(AD168+AD169)*(AF$3/AD$3)</f>
        <v>0.046234859817593975</v>
      </c>
      <c r="AE189" s="445">
        <f>AE195/(AE168+AE169)*(AF$3/AE$3)</f>
        <v>0.056661452300490786</v>
      </c>
      <c r="AF189" s="1188">
        <f>AF195/(AF168+AF169)*(AF$3/AF$3)</f>
        <v>0.056667740123111876</v>
      </c>
      <c r="AG189" s="445">
        <f>AG195/(AG168+AG169)*(AK$3/AG$3)</f>
        <v>0.071492165242165243</v>
      </c>
      <c r="AH189" s="445">
        <f>AH195/(AH168+AH169)*(AK$3/AH$3)</f>
        <v>0.059422059422059421</v>
      </c>
      <c r="AI189" s="445">
        <f>AI195/(AI168+AI169)*(AK$3/AI$3)</f>
        <v>0.077577468473083583</v>
      </c>
      <c r="AJ189" s="445">
        <f>AJ195/(AJ168+AJ169)*(AK$3/AJ$3)</f>
        <v>0.046308043643745245</v>
      </c>
      <c r="AK189" s="1188">
        <f>AK195/(AK168+AK169)*(AK$3/AK$3)</f>
        <v>0.063621699694613038</v>
      </c>
      <c r="AL189" s="445">
        <f>AL195/(AL168+AL169)*(AP$3/AL$3)</f>
        <v>-0.016106319309980636</v>
      </c>
      <c r="AM189" s="445">
        <f>AM195/(AM168+AM169)*(AP$3/AM$3)</f>
        <v>0.043260756958953726</v>
      </c>
      <c r="AN189" s="445">
        <f>AN195/(AN168+AN169)*(AP$3/AN$3)</f>
        <v>0.017361487585384364</v>
      </c>
      <c r="AO189" s="445">
        <f>AO195/(AO168+AO169)*(AP$3/AO$3)</f>
        <v>0.060848284942875759</v>
      </c>
      <c r="AP189" s="1188">
        <f>AP195/(AP168+AP169)*(AP$3/AP$3)</f>
        <v>0.025584373759539838</v>
      </c>
      <c r="AQ189" s="445">
        <f>AQ195/(AQ168+AQ169)*(AU$3/AQ$3)</f>
        <v>0.10578357413800452</v>
      </c>
      <c r="AR189" s="606">
        <f>AR195/(AR168+AR169)*(AU$3/AR$3)</f>
        <v>0.063032828878821542</v>
      </c>
      <c r="AS189" s="445">
        <f>AS195/(AS168+AS169)*(AU$3/AS$3)</f>
        <v>0.052682417728827105</v>
      </c>
      <c r="AT189" s="445">
        <f>AT195/(AT168+AT169)*(AU$3/AT$3)</f>
        <v>0.11307552611900437</v>
      </c>
      <c r="AU189" s="1188">
        <f>AU195/(AU168+AU169)*(AU$3/AU$3)</f>
        <v>0.085638225871948748</v>
      </c>
      <c r="AV189" s="445">
        <f>AV195/(AV168+AV169)*(AZ$3/AV$3)</f>
        <v>0.055017226528854435</v>
      </c>
      <c r="AW189" s="606">
        <f>AW195/(AW168+AW169)*(AZ$3/AW$3)</f>
        <v>-0.0039112520828756808</v>
      </c>
      <c r="AX189" s="445">
        <f>AX195/(AX168+AX169)*(AZ$3/AX$3)</f>
        <v>0.011755233494363929</v>
      </c>
      <c r="AY189" s="445">
        <f>AY195/(AY168+AY169)*(AZ$3/AY$3)</f>
        <v>0.083066019333304444</v>
      </c>
      <c r="AZ189" s="1188">
        <f>AZ195/(AZ168+AZ169)*(AZ$3/AZ$3)</f>
        <v>0.036340250224351597</v>
      </c>
      <c r="BA189" s="445">
        <f>BA195/(BA168+BA169)*(BE$3/BA$3)</f>
        <v>0.10048452813566787</v>
      </c>
      <c r="BB189" s="606">
        <f>BB195/(BB168+BB169)*(BE$3/BB$3)</f>
        <v>0.085838286227391286</v>
      </c>
      <c r="BC189" s="445">
        <f>BC195/(BC168+BC169)*(BE$3/BC$3)</f>
        <v>0.057918121231355126</v>
      </c>
      <c r="BD189" s="445">
        <f>BD195/(BD168+BD169)*(BE$3/BD$3)</f>
        <v>0.031347289318303814</v>
      </c>
      <c r="BE189" s="1188">
        <f>BE195/(BE168+BE169)*(BE$3/BE$3)</f>
        <v>0.068675780431031244</v>
      </c>
      <c r="BF189" s="445">
        <f>BF195/(BF168+BF169)*(BJ$3/BF$3)</f>
        <v>0.089898439752667161</v>
      </c>
      <c r="BG189" s="606">
        <f>BG195/(BG168+BG169)*(BJ$3/BG$3)</f>
        <v>0.060795133067216206</v>
      </c>
      <c r="BH189" s="941">
        <f>BH195/(BH168+BH169)*(BJ$3/BH$3)</f>
        <v>0.095861707700366686</v>
      </c>
      <c r="BI189" s="1061">
        <v>0.068699999999999997</v>
      </c>
      <c r="BJ189" s="1189">
        <f>BJ195/(BJ168+BJ169)</f>
        <v>0.079001404403214029</v>
      </c>
      <c r="BK189" s="1061">
        <v>0.068699999999999997</v>
      </c>
      <c r="BL189" s="1061">
        <v>0.068699999999999997</v>
      </c>
      <c r="BM189" s="1061">
        <v>0.068699999999999997</v>
      </c>
      <c r="BN189" s="1061">
        <v>0.068699999999999997</v>
      </c>
      <c r="BO189" s="1189">
        <f>BO195/(BO168+BO169)</f>
        <v>0.068699999999999997</v>
      </c>
      <c r="BP189" s="1190">
        <v>0.068699999999999997</v>
      </c>
      <c r="BQ189" s="1190">
        <v>0.068699999999999997</v>
      </c>
      <c r="BR189" s="1191">
        <v>0.068699999999999997</v>
      </c>
      <c r="BS189" s="448"/>
    </row>
    <row r="190" spans="1:71" s="678" customFormat="1" ht="15" hidden="1" outlineLevel="1">
      <c r="A190" s="443" t="s">
        <v>586</v>
      </c>
      <c r="B190" s="505"/>
      <c r="C190" s="1187"/>
      <c r="D190" s="1187"/>
      <c r="E190" s="1187"/>
      <c r="F190" s="1187"/>
      <c r="G190" s="1187"/>
      <c r="H190" s="606"/>
      <c r="I190" s="606"/>
      <c r="J190" s="606"/>
      <c r="K190" s="606"/>
      <c r="L190" s="1187"/>
      <c r="M190" s="606"/>
      <c r="N190" s="606"/>
      <c r="O190" s="606"/>
      <c r="P190" s="606"/>
      <c r="Q190" s="1187"/>
      <c r="R190" s="606"/>
      <c r="S190" s="606"/>
      <c r="T190" s="606"/>
      <c r="U190" s="606"/>
      <c r="V190" s="1187"/>
      <c r="W190" s="606"/>
      <c r="X190" s="606"/>
      <c r="Y190" s="606"/>
      <c r="Z190" s="606"/>
      <c r="AA190" s="1187"/>
      <c r="AB190" s="445">
        <f>(AB196/AB170)*(AF3/AB3)</f>
        <v>0.34011951787703837</v>
      </c>
      <c r="AC190" s="445">
        <f>(AC196/AC170)*(AF3/AC3)</f>
        <v>0.14356224308210341</v>
      </c>
      <c r="AD190" s="445">
        <f>(AD196/AD170)*(AF3/AD3)</f>
        <v>0.13102138016774939</v>
      </c>
      <c r="AE190" s="445">
        <f>(AE196/AE170)*(AF3/AE3)</f>
        <v>0.098328135969566854</v>
      </c>
      <c r="AF190" s="1188">
        <f t="shared" si="557" ref="AF190:AZ190">AF196/AF170</f>
        <v>0.150555375504552</v>
      </c>
      <c r="AG190" s="445">
        <f>(AG196/AG170)*(AK3/AG3)</f>
        <v>0.060530679933665003</v>
      </c>
      <c r="AH190" s="445">
        <f>(AH196/AH170)*(AK3/AH3)</f>
        <v>0.12253530583469484</v>
      </c>
      <c r="AI190" s="445">
        <f>(AI196/AI170)*(AK3/AI3)</f>
        <v>0.11219850449651859</v>
      </c>
      <c r="AJ190" s="445">
        <f>(AJ196/AJ170)*(AK3/AJ3)</f>
        <v>0.11078660173481364</v>
      </c>
      <c r="AK190" s="1188">
        <f t="shared" si="557"/>
        <v>0.10242029674736752</v>
      </c>
      <c r="AL190" s="445">
        <f>(AL196/AL170)*(AP3/AL3)</f>
        <v>0.053610834254126057</v>
      </c>
      <c r="AM190" s="445">
        <f>(AM196/AM170)*(AP3/AM3)</f>
        <v>-0.013618435740331902</v>
      </c>
      <c r="AN190" s="445">
        <f>(AN196/AN170)*(AP3/AN3)</f>
        <v>0.079081938875951316</v>
      </c>
      <c r="AO190" s="445">
        <f>(AO196/AO170)*(AP3/AO3)</f>
        <v>0.098334228909188609</v>
      </c>
      <c r="AP190" s="1188">
        <f t="shared" si="557"/>
        <v>0.055226632057936598</v>
      </c>
      <c r="AQ190" s="445">
        <f>(AQ196/AQ170)*(AU3/AQ3)</f>
        <v>0.19739989599583982</v>
      </c>
      <c r="AR190" s="606">
        <f>(AR196/AR170)*(AU3/AR3)</f>
        <v>0.21079216860119895</v>
      </c>
      <c r="AS190" s="445">
        <f>(AS196/AS170)*(AU3/AS3)</f>
        <v>0.20798532511123255</v>
      </c>
      <c r="AT190" s="445">
        <f>(AT196/AT170)*(AU3/AT3)</f>
        <v>0.26865372033545476</v>
      </c>
      <c r="AU190" s="1188">
        <f t="shared" si="557"/>
        <v>0.22115783910302389</v>
      </c>
      <c r="AV190" s="445">
        <f>(AV196/AV170)*(AZ3/AV3)</f>
        <v>0.34399801587301587</v>
      </c>
      <c r="AW190" s="606">
        <f>(AW196/AW170)*(AZ3/AW3)</f>
        <v>0.18787991669347603</v>
      </c>
      <c r="AX190" s="445">
        <f>(AX196/AX170)*(AZ3/AX3)</f>
        <v>0.089317601619026202</v>
      </c>
      <c r="AY190" s="445">
        <f>(AY196/AY170)*(AZ3/AY3)</f>
        <v>0.049577636055521783</v>
      </c>
      <c r="AZ190" s="1188">
        <f t="shared" si="557"/>
        <v>0.16390685455421558</v>
      </c>
      <c r="BA190" s="445">
        <f>(BA196/BA170)*(BE3/BA3)</f>
        <v>0.1346732692494417</v>
      </c>
      <c r="BB190" s="606">
        <f>(BB196/BB170)*(BE3/BB3)</f>
        <v>0.064378155521749678</v>
      </c>
      <c r="BC190" s="445">
        <f>(BC196/BC170)*(BE3/BC3)</f>
        <v>0.037858912250302024</v>
      </c>
      <c r="BD190" s="445">
        <f>(BD196/BD170)*(BE3/BD3)</f>
        <v>-0.0065739706782896867</v>
      </c>
      <c r="BE190" s="1188">
        <f>BE196/BE170</f>
        <v>0.056136529757332042</v>
      </c>
      <c r="BF190" s="445">
        <f>(BF196/BF170)*(BJ3/BF3)</f>
        <v>0.054915046722802049</v>
      </c>
      <c r="BG190" s="606">
        <f>(BG196/BG170)*(BJ3/BG3)</f>
        <v>0.03019179212208703</v>
      </c>
      <c r="BH190" s="941">
        <f>(BH196/BH170)*(BJ3/BH3)</f>
        <v>0.012586114008642924</v>
      </c>
      <c r="BI190" s="1061">
        <v>0.055</v>
      </c>
      <c r="BJ190" s="1189">
        <f t="shared" si="558" ref="BJ190">BJ196/BJ170</f>
        <v>0.038169710241682246</v>
      </c>
      <c r="BK190" s="1061">
        <v>0.055</v>
      </c>
      <c r="BL190" s="1061">
        <v>0.055</v>
      </c>
      <c r="BM190" s="1061">
        <v>0.055</v>
      </c>
      <c r="BN190" s="1061">
        <v>0.055</v>
      </c>
      <c r="BO190" s="1189">
        <f>BO196/BO170</f>
        <v>0.054999999999999993</v>
      </c>
      <c r="BP190" s="1190">
        <v>0.055</v>
      </c>
      <c r="BQ190" s="1190">
        <v>0.055</v>
      </c>
      <c r="BR190" s="1191">
        <v>0.055</v>
      </c>
      <c r="BS190" s="448"/>
    </row>
    <row r="191" spans="1:71" s="678" customFormat="1" ht="15" hidden="1" outlineLevel="1">
      <c r="A191" s="443" t="s">
        <v>149</v>
      </c>
      <c r="B191" s="505"/>
      <c r="C191" s="1187"/>
      <c r="D191" s="1187"/>
      <c r="E191" s="1187"/>
      <c r="F191" s="1188">
        <f>F197/SUM(F171:F174)</f>
        <v>0.054009819967266774</v>
      </c>
      <c r="G191" s="1188">
        <f>G197/SUM(G171:G174)*(G$3/G$3)</f>
        <v>0.04645161290322581</v>
      </c>
      <c r="H191" s="445">
        <f>H197/SUM(H171:H174)*(L$3/H$3)</f>
        <v>0.038291832515659228</v>
      </c>
      <c r="I191" s="445">
        <f>I197/SUM(I171:I174)*(L$3/I$3)</f>
        <v>0.040215720954507234</v>
      </c>
      <c r="J191" s="445">
        <f>J197/SUM(J171:J174)*(L$3/J$3)</f>
        <v>0.039843246842559132</v>
      </c>
      <c r="K191" s="445">
        <f>K197/SUM(K171:K174)*(L$3/K$3)</f>
        <v>0.039383227318035618</v>
      </c>
      <c r="L191" s="1188">
        <f>L197/SUM(L171:L174)*(L$3/L$3)</f>
        <v>0.039454806312769014</v>
      </c>
      <c r="M191" s="445">
        <f>M197/SUM(M171:M174)*(Q$3/M$3)</f>
        <v>0.0387826350941105</v>
      </c>
      <c r="N191" s="445">
        <f>N197/SUM(N171:N174)*(Q$3/N$3)</f>
        <v>0.047338045522339667</v>
      </c>
      <c r="O191" s="445">
        <f>O197/SUM(O171:O174)*(Q$3/O$3)</f>
        <v>0.041474273554598325</v>
      </c>
      <c r="P191" s="445">
        <f>P197/SUM(P171:P174)*(Q$3/P$3)</f>
        <v>0.033347206854196065</v>
      </c>
      <c r="Q191" s="1188">
        <f>Q197/SUM(Q171:Q174)*(Q$3/Q$3)</f>
        <v>0.040260160127797963</v>
      </c>
      <c r="R191" s="445">
        <f>R197/SUM(R171:R174)*(V$3/R$3)</f>
        <v>0.032888996091061939</v>
      </c>
      <c r="S191" s="445">
        <f>S197/SUM(S171:S174)*(V$3/S$3)</f>
        <v>0.0353086657954974</v>
      </c>
      <c r="T191" s="445">
        <f>T197/SUM(T171:T174)*(V$3/T$3)</f>
        <v>0.033832501386577923</v>
      </c>
      <c r="U191" s="445">
        <f>U197/SUM(U171:U174)*(V$3/U$3)</f>
        <v>0.023939976914197768</v>
      </c>
      <c r="V191" s="1188">
        <f>V197/SUM(V171:V174)*(V$3/V$3)</f>
        <v>0.031265605250377422</v>
      </c>
      <c r="W191" s="445">
        <f>W197/SUM(W171:W174)*(AA$3/W$3)</f>
        <v>0.027621696274854793</v>
      </c>
      <c r="X191" s="445">
        <f>X197/SUM(X171:X174)*(AA$3/X$3)</f>
        <v>0.035524586943317463</v>
      </c>
      <c r="Y191" s="445">
        <f>Y197/SUM(Y171:Y174)*(AA$3/Y$3)</f>
        <v>0.042329102180238685</v>
      </c>
      <c r="Z191" s="445">
        <f>Z197/SUM(Z171:Z174)*(AA$3/Z$3)</f>
        <v>0.027199317137940847</v>
      </c>
      <c r="AA191" s="1188">
        <f>AA197/SUM(AA171:AA174)*(AA$3/AA$3)</f>
        <v>0.033197129692170854</v>
      </c>
      <c r="AB191" s="445">
        <f>AB197/SUM(AB171:AB174)*(AF$3/AB$3)</f>
        <v>0.034274399330434607</v>
      </c>
      <c r="AC191" s="445">
        <f>AC197/SUM(AC171:AC174)*(AF$3/AC$3)</f>
        <v>0.051814390914736941</v>
      </c>
      <c r="AD191" s="445">
        <f>AD197/SUM(AD171:AD174)*(AF$3/AD$3)</f>
        <v>0.053683601237356007</v>
      </c>
      <c r="AE191" s="445">
        <f>AE197/SUM(AE171:AE174)*(AF$3/AE$3)</f>
        <v>0.058602530344871874</v>
      </c>
      <c r="AF191" s="1188">
        <f>AF197/SUM(AF171:AF174)*(AF$3/AF$3)</f>
        <v>0.048678169781787725</v>
      </c>
      <c r="AG191" s="445">
        <f>AG197/SUM(AG171:AG174)*(AK$3/AG$3)</f>
        <v>0.053013798111837325</v>
      </c>
      <c r="AH191" s="445">
        <f>AH197/SUM(AH171:AH174)*(AK$3/AH$3)</f>
        <v>0.06258541825315575</v>
      </c>
      <c r="AI191" s="445">
        <f>AI197/SUM(AI171:AI174)*(AK$3/AI$3)</f>
        <v>0.062233589087809037</v>
      </c>
      <c r="AJ191" s="445">
        <f>AJ197/SUM(AJ171:AJ174)*(AK$3/AJ$3)</f>
        <v>0.058032606547092143</v>
      </c>
      <c r="AK191" s="1188">
        <f>AK197/SUM(AK171:AK174)*(AK$3/AK$3)</f>
        <v>0.059169708253302353</v>
      </c>
      <c r="AL191" s="445">
        <f>AL197/SUM(AL171:AL174)*(AP$3/AL$3)</f>
        <v>0.01371810879378562</v>
      </c>
      <c r="AM191" s="445">
        <f>AM197/SUM(AM171:AM174)*(AP$3/AM$3)</f>
        <v>0.0017823966416920106</v>
      </c>
      <c r="AN191" s="445">
        <f>AN197/SUM(AN171:AN174)*(AP$3/AN$3)</f>
        <v>0.012419936373276777</v>
      </c>
      <c r="AO191" s="445">
        <f>AO197/SUM(AO171:AO174)*(AP$3/AO$3)</f>
        <v>0.0087067536813391581</v>
      </c>
      <c r="AP191" s="1188">
        <f>AP197/SUM(AP171:AP174)*(AP$3/AP$3)</f>
        <v>0.0092837055417700574</v>
      </c>
      <c r="AQ191" s="445">
        <f>AQ197/SUM(AQ171:AQ174)*(AU$3/AQ$3)</f>
        <v>0.013900790250404646</v>
      </c>
      <c r="AR191" s="606">
        <f>AR197/SUM(AR171:AR174)*(AU$3/AR$3)</f>
        <v>0.049942275623209478</v>
      </c>
      <c r="AS191" s="445">
        <f>AS197/SUM(AS171:AS174)*(AU$3/AS$3)</f>
        <v>0.081862163980647842</v>
      </c>
      <c r="AT191" s="445">
        <f>AT197/SUM(AT171:AT174)*(AU$3/AT$3)</f>
        <v>0.069603356216628526</v>
      </c>
      <c r="AU191" s="1188">
        <f>AU197/SUM(AU171:AU174)*(AU$3/AU$3)</f>
        <v>0.042769782855468896</v>
      </c>
      <c r="AV191" s="445">
        <f>AV197/SUM(AV171:AV174)*(AZ$3/AV$3)</f>
        <v>0.035265700483091786</v>
      </c>
      <c r="AW191" s="606">
        <f>AW197/SUM(AW171:AW174)*(AZ$3/AW$3)</f>
        <v>0.059118885649497896</v>
      </c>
      <c r="AX191" s="445">
        <f>AX197/SUM(AX171:AX174)*(AZ$3/AX$3)</f>
        <v>0.082704662383706981</v>
      </c>
      <c r="AY191" s="445">
        <f>AY197/SUM(AY171:AY174)*(AZ$3/AY$3)</f>
        <v>0.078854982446664876</v>
      </c>
      <c r="AZ191" s="1188">
        <f>AZ197/SUM(AZ171:AZ174)*(AZ$3/AZ$3)</f>
        <v>0.064099165667101832</v>
      </c>
      <c r="BA191" s="445">
        <f>BA197/SUM(BA171:BA174)*(BE$3/BA$3)</f>
        <v>0.092639593908629428</v>
      </c>
      <c r="BB191" s="606">
        <f>BB197/SUM(BB171:BB174)*(BE$3/BB$3)</f>
        <v>0.11408113541274498</v>
      </c>
      <c r="BC191" s="445">
        <f>BC197/SUM(BC171:BC174)*(BE$3/BC$3)</f>
        <v>0.12278193591792112</v>
      </c>
      <c r="BD191" s="445">
        <f>BD197/SUM(BD171:BD174)*(BE$3/BD$3)</f>
        <v>0.13318550537513685</v>
      </c>
      <c r="BE191" s="1188">
        <f>BE197/SUM(BE171:BE174)*(BE$3/BE$3)</f>
        <v>0.11570629269641453</v>
      </c>
      <c r="BF191" s="445">
        <f>BF197/SUM(BF171:BF174)*(BJ$3/BF$3)</f>
        <v>0.10903698888911459</v>
      </c>
      <c r="BG191" s="606">
        <f>BG197/SUM(BG171:BG174)*(BJ$3/BG$3)</f>
        <v>0.12263512884630898</v>
      </c>
      <c r="BH191" s="941">
        <f>BH197/SUM(BH171:BH174)*(BJ$3/BH$3)</f>
        <v>0.13448864444549807</v>
      </c>
      <c r="BI191" s="1061">
        <v>0.12</v>
      </c>
      <c r="BJ191" s="1189">
        <f>BJ197/SUM(BJ171:BJ174)</f>
        <v>0.1220236153201419</v>
      </c>
      <c r="BK191" s="1061">
        <v>0.12</v>
      </c>
      <c r="BL191" s="1061">
        <v>0.12</v>
      </c>
      <c r="BM191" s="1061">
        <v>0.12</v>
      </c>
      <c r="BN191" s="1061">
        <v>0.12</v>
      </c>
      <c r="BO191" s="1189">
        <f>BO197/SUM(BO171:BO174)</f>
        <v>0.12000000000000002</v>
      </c>
      <c r="BP191" s="1190">
        <v>0.12</v>
      </c>
      <c r="BQ191" s="1190">
        <v>0.12</v>
      </c>
      <c r="BR191" s="1191">
        <v>0.12</v>
      </c>
      <c r="BS191" s="448"/>
    </row>
    <row r="192" spans="1:71" s="679" customFormat="1" ht="15" hidden="1" outlineLevel="1">
      <c r="A192" s="449" t="s">
        <v>150</v>
      </c>
      <c r="B192" s="506"/>
      <c r="C192" s="1192"/>
      <c r="D192" s="1193">
        <f>ROUND(INDEX(MO_II_NetII,0,COLUMN())/INDEX(MO_II_InvestmentBalance,0,COLUMN()),6)*(D$3/D$3)</f>
        <v>0.059192000000000002</v>
      </c>
      <c r="E192" s="1193">
        <f>ROUND(INDEX(MO_II_NetII,0,COLUMN())/INDEX(MO_II_InvestmentBalance,0,COLUMN()),6)*(E$3/$E3)</f>
        <v>0.054163999999999997</v>
      </c>
      <c r="F192" s="1193">
        <f>ROUND(INDEX(MO_II_NetII,0,COLUMN())/INDEX(MO_II_InvestmentBalance,0,COLUMN()),6)*(F$3/F$3)</f>
        <v>0.051022999999999999</v>
      </c>
      <c r="G192" s="1193">
        <f>ROUND(INDEX(MO_II_NetII,0,COLUMN())/INDEX(MO_II_InvestmentBalance,0,COLUMN()),6)*(G$3/G$3)</f>
        <v>0.047715</v>
      </c>
      <c r="H192" s="451">
        <f>ROUND(INDEX(MO_II_NetII,0,COLUMN())/INDEX(MO_II_InvestmentBalance,0,COLUMN()),6)*(L$3/H$3)</f>
        <v>0.048378722222222219</v>
      </c>
      <c r="I192" s="451">
        <f>ROUND(INDEX(MO_II_NetII,0,COLUMN())/INDEX(MO_II_InvestmentBalance,0,COLUMN()),6)*(L$3/I$3)</f>
        <v>0.047819010989010993</v>
      </c>
      <c r="J192" s="451">
        <f>ROUND(INDEX(MO_II_NetII,0,COLUMN())/INDEX(MO_II_InvestmentBalance,0,COLUMN()),6)*(L$3/J$3)</f>
        <v>0.044938641304347826</v>
      </c>
      <c r="K192" s="451">
        <f>ROUND(INDEX(MO_II_NetII,0,COLUMN())/INDEX(MO_II_InvestmentBalance,0,COLUMN()),6)*(L$3/K$3)</f>
        <v>0.044347500000000005</v>
      </c>
      <c r="L192" s="1193">
        <f>ROUND(INDEX(MO_II_NetII,0,COLUMN())/INDEX(MO_II_InvestmentBalance,0,COLUMN()),6)*(L$3/L$3)</f>
        <v>0.046321000000000001</v>
      </c>
      <c r="M192" s="451">
        <f>ROUND(INDEX(MO_II_NetII,0,COLUMN())/INDEX(MO_II_InvestmentBalance,0,COLUMN()),6)*(Q$3/M$3)</f>
        <v>0.044302888888888885</v>
      </c>
      <c r="N192" s="451">
        <f>ROUND(INDEX(MO_II_NetII,0,COLUMN())/INDEX(MO_II_InvestmentBalance,0,COLUMN()),6)*(Q$3/N$3)</f>
        <v>0.0446382967032967</v>
      </c>
      <c r="O192" s="451">
        <f>ROUND(INDEX(MO_II_NetII,0,COLUMN())/INDEX(MO_II_InvestmentBalance,0,COLUMN()),6)*(Q$3/O$3)</f>
        <v>0.045779728260869568</v>
      </c>
      <c r="P192" s="451">
        <f>ROUND(INDEX(MO_II_NetII,0,COLUMN())/INDEX(MO_II_InvestmentBalance,0,COLUMN()),6)*(Q$3/P$3)</f>
        <v>0.044756141304347824</v>
      </c>
      <c r="Q192" s="1193">
        <f>ROUND(INDEX(MO_II_NetII,0,COLUMN())/INDEX(MO_II_InvestmentBalance,0,COLUMN()),6)*(Q$3/Q$3)</f>
        <v>0.044878000000000001</v>
      </c>
      <c r="R192" s="451">
        <f>ROUND(INDEX(MO_II_NetII,0,COLUMN())/INDEX(MO_II_InvestmentBalance,0,COLUMN()),6)*(V$3/R$3)</f>
        <v>0.04424578021978022</v>
      </c>
      <c r="S192" s="451">
        <f>ROUND(INDEX(MO_II_NetII,0,COLUMN())/INDEX(MO_II_InvestmentBalance,0,COLUMN()),6)*(V$3/S$3)</f>
        <v>0.044020549450549451</v>
      </c>
      <c r="T192" s="451">
        <f>ROUND(INDEX(MO_II_NetII,0,COLUMN())/INDEX(MO_II_InvestmentBalance,0,COLUMN()),6)*(V$3/T$3)</f>
        <v>0.043466478260869565</v>
      </c>
      <c r="U192" s="451">
        <f>ROUND(INDEX(MO_II_NetII,0,COLUMN())/INDEX(MO_II_InvestmentBalance,0,COLUMN()),6)*(V$3/U$3)</f>
        <v>0.042941347826086954</v>
      </c>
      <c r="V192" s="1193">
        <f>ROUND(INDEX(MO_II_NetII,0,COLUMN())/INDEX(MO_II_InvestmentBalance,0,COLUMN()),6)*(V$3/V$3)</f>
        <v>0.043653999999999998</v>
      </c>
      <c r="W192" s="451">
        <f>ROUND(INDEX(MO_II_NetII,0,COLUMN())/INDEX(MO_II_InvestmentBalance,0,COLUMN()),6)*(AA$3/W$3)</f>
        <v>0.043674277777777777</v>
      </c>
      <c r="X192" s="451">
        <f>ROUND(INDEX(MO_II_NetII,0,COLUMN())/INDEX(MO_II_InvestmentBalance,0,COLUMN()),6)*(AA$3/X$3)</f>
        <v>0.043912307692307688</v>
      </c>
      <c r="Y192" s="451">
        <f>ROUND(INDEX(MO_II_NetII,0,COLUMN())/INDEX(MO_II_InvestmentBalance,0,COLUMN()),6)*(AA$3/Y$3)</f>
        <v>0.043724619565217393</v>
      </c>
      <c r="Z192" s="451">
        <f>ROUND(INDEX(MO_II_NetII,0,COLUMN())/INDEX(MO_II_InvestmentBalance,0,COLUMN()),6)*(AA$3/Z$3)</f>
        <v>0.04259788043478261</v>
      </c>
      <c r="AA192" s="1193">
        <f>ROUND(INDEX(MO_II_NetII,0,COLUMN())/INDEX(MO_II_InvestmentBalance,0,COLUMN()),6)*(AA$3/AA$3)</f>
        <v>0.043468</v>
      </c>
      <c r="AB192" s="451">
        <f>ROUND(INDEX(MO_II_NetII,0,COLUMN())/INDEX(MO_II_InvestmentBalance,0,COLUMN()),6)*(AF$3/AB$3)</f>
        <v>0.045625</v>
      </c>
      <c r="AC192" s="451">
        <f>ROUND(INDEX(MO_II_NetII,0,COLUMN())/INDEX(MO_II_InvestmentBalance,0,COLUMN()),6)*(AF$3/AC$3)</f>
        <v>0.047634505494505493</v>
      </c>
      <c r="AD192" s="451">
        <f>ROUND(INDEX(MO_II_NetII,0,COLUMN())/INDEX(MO_II_InvestmentBalance,0,COLUMN()),6)*(AF$3/AD$3)</f>
        <v>0.046053478260869564</v>
      </c>
      <c r="AE192" s="451">
        <f>ROUND(INDEX(MO_II_NetII,0,COLUMN())/INDEX(MO_II_InvestmentBalance,0,COLUMN()),6)*(AF$3/AE$3)</f>
        <v>0.046335163043478261</v>
      </c>
      <c r="AF192" s="1193">
        <f>ROUND(INDEX(MO_II_NetII,0,COLUMN())/INDEX(MO_II_InvestmentBalance,0,COLUMN()),6)*(AF$3/AF$3)</f>
        <v>0.046413000000000003</v>
      </c>
      <c r="AG192" s="451">
        <f>ROUND(INDEX(MO_II_NetII,0,COLUMN())/INDEX(MO_II_InvestmentBalance,0,COLUMN()),6)*(AK$3/AG$3)</f>
        <v>0.045783166666666666</v>
      </c>
      <c r="AH192" s="451">
        <f>ROUND(INDEX(MO_II_NetII,0,COLUMN())/INDEX(MO_II_InvestmentBalance,0,COLUMN()),6)*(AK$3/AH$3)</f>
        <v>0.046728021978021977</v>
      </c>
      <c r="AI192" s="451">
        <f>ROUND(INDEX(MO_II_NetII,0,COLUMN())/INDEX(MO_II_InvestmentBalance,0,COLUMN()),6)*(AK$3/AI$3)</f>
        <v>0.045720217391304344</v>
      </c>
      <c r="AJ192" s="451">
        <f>ROUND(INDEX(MO_II_NetII,0,COLUMN())/INDEX(MO_II_InvestmentBalance,0,COLUMN()),6)*(AK$3/AJ$3)</f>
        <v>0.045045760869565216</v>
      </c>
      <c r="AK192" s="1193">
        <f>ROUND(INDEX(MO_II_NetII,0,COLUMN())/INDEX(MO_II_InvestmentBalance,0,COLUMN()),6)*(AK$3/AK$3)</f>
        <v>0.045808000000000001</v>
      </c>
      <c r="AL192" s="451">
        <f>ROUND(INDEX(MO_II_NetII,0,COLUMN())/INDEX(MO_II_InvestmentBalance,0,COLUMN()),6)*(AP$3/AL$3)</f>
        <v>0.0080077582417582421</v>
      </c>
      <c r="AM192" s="451">
        <f>ROUND(INDEX(MO_II_NetII,0,COLUMN())/INDEX(MO_II_InvestmentBalance,0,COLUMN()),6)*(AP$3/AM$3)</f>
        <v>0.0067046373626373631</v>
      </c>
      <c r="AN192" s="451">
        <f>ROUND(INDEX(MO_II_NetII,0,COLUMN())/INDEX(MO_II_InvestmentBalance,0,COLUMN()),6)*(AP$3/AN$3)</f>
        <v>0.0089550652173913045</v>
      </c>
      <c r="AO192" s="451">
        <f>ROUND(INDEX(MO_II_NetII,0,COLUMN())/INDEX(MO_II_InvestmentBalance,0,COLUMN()),6)*(AP$3/AO$3)</f>
        <v>0.011242565217391304</v>
      </c>
      <c r="AP192" s="1193">
        <f>ROUND(INDEX(MO_II_NetII,0,COLUMN())/INDEX(MO_II_InvestmentBalance,0,COLUMN()),6)*(AP$3/AP$3)</f>
        <v>0.0087290000000000006</v>
      </c>
      <c r="AQ192" s="451">
        <f>ROUND(INDEX(MO_II_NetII,0,COLUMN())/INDEX(MO_II_InvestmentBalance,0,COLUMN()),6)*(AU$3/AQ$3)</f>
        <v>0.024633444444444444</v>
      </c>
      <c r="AR192" s="451">
        <f>ROUND(INDEX(MO_II_NetII,0,COLUMN())/INDEX(MO_II_InvestmentBalance,0,COLUMN()),6)*(AU$3/AR$3)</f>
        <v>0.052688351648351651</v>
      </c>
      <c r="AS192" s="451">
        <f>ROUND(INDEX(MO_II_NetII,0,COLUMN())/INDEX(MO_II_InvestmentBalance,0,COLUMN()),6)*(AU$3/AS$3)</f>
        <v>0.050961141304347826</v>
      </c>
      <c r="AT192" s="451">
        <f>ROUND(INDEX(MO_II_NetII,0,COLUMN())/INDEX(MO_II_InvestmentBalance,0,COLUMN()),6)*(AU$3/AT$3)</f>
        <v>0.061042282608695653</v>
      </c>
      <c r="AU192" s="1193">
        <f>ROUND(INDEX(MO_II_NetII,0,COLUMN())/INDEX(MO_II_InvestmentBalance,0,COLUMN()),6)*(AU$3/AU$3)</f>
        <v>0.041751999999999997</v>
      </c>
      <c r="AV192" s="451">
        <f>ROUND(INDEX(MO_II_NetII,0,COLUMN())/INDEX(MO_II_InvestmentBalance,0,COLUMN()),6)*(AZ$3/AV$3)</f>
        <v>0.066547611111111113</v>
      </c>
      <c r="AW192" s="451">
        <f>ROUND(INDEX(MO_II_NetII,0,COLUMN())/INDEX(MO_II_InvestmentBalance,0,COLUMN()),6)*(AZ$3/AW$3)</f>
        <v>0.048617197802197802</v>
      </c>
      <c r="AX192" s="451">
        <f>ROUND(INDEX(MO_II_NetII,0,COLUMN())/INDEX(MO_II_InvestmentBalance,0,COLUMN()),6)*(AZ$3/AX$3)</f>
        <v>0.044656956521739136</v>
      </c>
      <c r="AY192" s="451">
        <f>ROUND(INDEX(MO_II_NetII,0,COLUMN())/INDEX(MO_II_InvestmentBalance,0,COLUMN()),6)*(AZ$3/AY$3)</f>
        <v>0.049064728260869564</v>
      </c>
      <c r="AZ192" s="1193">
        <f>ROUND(INDEX(MO_II_NetII,0,COLUMN())/INDEX(MO_II_InvestmentBalance,0,COLUMN()),6)*(AZ$3/AZ$3)</f>
        <v>0.052270999999999998</v>
      </c>
      <c r="BA192" s="451">
        <f>ROUND(INDEX(MO_II_NetII,0,COLUMN())/INDEX(MO_II_InvestmentBalance,0,COLUMN()),6)*(BE$3/BA$3)</f>
        <v>0.06462933333333333</v>
      </c>
      <c r="BB192" s="451">
        <f>ROUND(INDEX(MO_II_NetII,0,COLUMN())/INDEX(MO_II_InvestmentBalance,0,COLUMN()),6)*(BE$3/BB$3)</f>
        <v>0.058620604395604396</v>
      </c>
      <c r="BC192" s="451">
        <f>ROUND(INDEX(MO_II_NetII,0,COLUMN())/INDEX(MO_II_InvestmentBalance,0,COLUMN()),6)*(BE$3/BC$3)</f>
        <v>0.049235326086956521</v>
      </c>
      <c r="BD192" s="451">
        <f>ROUND(INDEX(MO_II_NetII,0,COLUMN())/INDEX(MO_II_InvestmentBalance,0,COLUMN()),6)*(BE$3/BD$3)</f>
        <v>0.04569244565217391</v>
      </c>
      <c r="BE192" s="1193">
        <f>ROUND(INDEX(MO_II_NetII,0,COLUMN())/INDEX(MO_II_InvestmentBalance,0,COLUMN()),6)*(BE$3/BE$3)</f>
        <v>0.054450999999999999</v>
      </c>
      <c r="BF192" s="451">
        <f>ROUND(INDEX(MO_II_NetII,0,COLUMN())/INDEX(MO_II_InvestmentBalance,0,COLUMN()),6)*(BJ$3/BF$3)</f>
        <v>0.05646857142857143</v>
      </c>
      <c r="BG192" s="451">
        <f>ROUND(INDEX(MO_II_NetII,0,COLUMN())/INDEX(MO_II_InvestmentBalance,0,COLUMN()),6)*(BJ$3/BG$3)</f>
        <v>0.053423934065934063</v>
      </c>
      <c r="BH192" s="890">
        <f>ROUND(INDEX(MO_II_NetII,0,COLUMN())/INDEX(MO_II_InvestmentBalance,0,COLUMN()),6)*(BJ$3/BH$3)</f>
        <v>0.055719521739130431</v>
      </c>
      <c r="BI192" s="759">
        <f>ROUND(INDEX(MO_II_NetII,0,COLUMN())/INDEX(MO_II_InvestmentBalance,0,COLUMN()),6)*(BJ$3/BI$3)</f>
        <v>0.054343043478260869</v>
      </c>
      <c r="BJ192" s="1192">
        <f>ROUND(INDEX(MO_II_NetII,0,COLUMN())/INDEX(MO_II_InvestmentBalance,0,COLUMN()),6)*(BJ$3/BJ$3)</f>
        <v>0.054989000000000003</v>
      </c>
      <c r="BK192" s="759">
        <f>ROUND(INDEX(MO_II_NetII,0,COLUMN())/INDEX(MO_II_InvestmentBalance,0,COLUMN()),6)*(BO$3/BK$3)</f>
        <v>0.054425555555555553</v>
      </c>
      <c r="BL192" s="759">
        <f>ROUND(INDEX(MO_II_NetII,0,COLUMN())/INDEX(MO_II_InvestmentBalance,0,COLUMN()),6)*(BO$3/BL$3)</f>
        <v>0.054822197802197797</v>
      </c>
      <c r="BM192" s="759">
        <f>ROUND(INDEX(MO_II_NetII,0,COLUMN())/INDEX(MO_II_InvestmentBalance,0,COLUMN()),6)*(BO$3/BM$3)</f>
        <v>0.054984076086956525</v>
      </c>
      <c r="BN192" s="759">
        <f>ROUND(INDEX(MO_II_NetII,0,COLUMN())/INDEX(MO_II_InvestmentBalance,0,COLUMN()),6)*(BO$3/BN$3)</f>
        <v>0.054206467391304351</v>
      </c>
      <c r="BO192" s="1192">
        <f>ROUND(INDEX(MO_II_NetII,0,COLUMN())/INDEX(MO_II_InvestmentBalance,0,COLUMN()),6)*(BO$3/BO$3)</f>
        <v>0.054608999999999998</v>
      </c>
      <c r="BP192" s="1192">
        <f>ROUND(INDEX(MO_II_NetII,0,COLUMN())/INDEX(MO_II_InvestmentBalance,0,COLUMN()),6)*(BP3/BP3)</f>
        <v>0.054459</v>
      </c>
      <c r="BQ192" s="1192">
        <f>ROUND(INDEX(MO_II_NetII,0,COLUMN())/INDEX(MO_II_InvestmentBalance,0,COLUMN()),6)*(BQ3/BQ3)</f>
        <v>0.054337000000000003</v>
      </c>
      <c r="BR192" s="1192">
        <f>ROUND(INDEX(MO_II_NetII,0,COLUMN())/INDEX(MO_II_InvestmentBalance,0,COLUMN()),6)*(BR3/BR3)</f>
        <v>0.054245000000000002</v>
      </c>
      <c r="BS192" s="35"/>
    </row>
    <row r="193" spans="1:71" s="667" customFormat="1" ht="15" hidden="1" outlineLevel="1">
      <c r="A193" s="499"/>
      <c r="B193" s="492"/>
      <c r="C193" s="1161"/>
      <c r="D193" s="1161"/>
      <c r="E193" s="1161"/>
      <c r="F193" s="1161"/>
      <c r="G193" s="1161"/>
      <c r="H193" s="971"/>
      <c r="I193" s="971"/>
      <c r="J193" s="971"/>
      <c r="K193" s="971"/>
      <c r="L193" s="1161"/>
      <c r="M193" s="971"/>
      <c r="N193" s="971"/>
      <c r="O193" s="971"/>
      <c r="P193" s="971"/>
      <c r="Q193" s="1161"/>
      <c r="R193" s="971"/>
      <c r="S193" s="971"/>
      <c r="T193" s="971"/>
      <c r="U193" s="971"/>
      <c r="V193" s="1161"/>
      <c r="W193" s="971"/>
      <c r="X193" s="971"/>
      <c r="Y193" s="971"/>
      <c r="Z193" s="971"/>
      <c r="AA193" s="1161"/>
      <c r="AB193" s="971"/>
      <c r="AC193" s="971"/>
      <c r="AD193" s="971"/>
      <c r="AE193" s="971"/>
      <c r="AF193" s="1161"/>
      <c r="AG193" s="971"/>
      <c r="AH193" s="971"/>
      <c r="AI193" s="971"/>
      <c r="AJ193" s="971"/>
      <c r="AK193" s="1161"/>
      <c r="AL193" s="971"/>
      <c r="AM193" s="971"/>
      <c r="AN193" s="971"/>
      <c r="AO193" s="971"/>
      <c r="AP193" s="1161"/>
      <c r="AQ193" s="971"/>
      <c r="AR193" s="971"/>
      <c r="AS193" s="971"/>
      <c r="AT193" s="971"/>
      <c r="AU193" s="1161"/>
      <c r="AV193" s="971"/>
      <c r="AW193" s="971"/>
      <c r="AX193" s="971"/>
      <c r="AY193" s="971"/>
      <c r="AZ193" s="1161"/>
      <c r="BA193" s="971"/>
      <c r="BB193" s="971"/>
      <c r="BC193" s="971"/>
      <c r="BD193" s="971"/>
      <c r="BE193" s="1161"/>
      <c r="BF193" s="971"/>
      <c r="BG193" s="971"/>
      <c r="BH193" s="972"/>
      <c r="BI193" s="973"/>
      <c r="BJ193" s="1162"/>
      <c r="BK193" s="973"/>
      <c r="BL193" s="973"/>
      <c r="BM193" s="973"/>
      <c r="BN193" s="973"/>
      <c r="BO193" s="1162"/>
      <c r="BP193" s="1161"/>
      <c r="BQ193" s="1161"/>
      <c r="BR193" s="1162"/>
      <c r="BS193" s="664"/>
    </row>
    <row r="194" spans="1:71" s="673" customFormat="1" ht="15" hidden="1" outlineLevel="1">
      <c r="A194" s="114" t="s">
        <v>151</v>
      </c>
      <c r="B194" s="480"/>
      <c r="C194" s="1131"/>
      <c r="D194" s="1131"/>
      <c r="E194" s="1131"/>
      <c r="F194" s="1132">
        <v>1216</v>
      </c>
      <c r="G194" s="1132">
        <v>1241</v>
      </c>
      <c r="H194" s="1037">
        <v>327</v>
      </c>
      <c r="I194" s="1037">
        <v>338</v>
      </c>
      <c r="J194" s="1037">
        <v>342</v>
      </c>
      <c r="K194" s="288">
        <f>L194-SUM(H194,I194,J194)</f>
        <v>345</v>
      </c>
      <c r="L194" s="1132">
        <v>1352</v>
      </c>
      <c r="M194" s="1037">
        <v>352</v>
      </c>
      <c r="N194" s="1037">
        <v>360</v>
      </c>
      <c r="O194" s="1037">
        <v>370</v>
      </c>
      <c r="P194" s="288">
        <f>Q194-SUM(M194,N194,O194)</f>
        <v>379</v>
      </c>
      <c r="Q194" s="1132">
        <v>1461</v>
      </c>
      <c r="R194" s="1037">
        <v>367</v>
      </c>
      <c r="S194" s="1037">
        <v>381</v>
      </c>
      <c r="T194" s="1037">
        <v>378</v>
      </c>
      <c r="U194" s="288">
        <f>V194-SUM(R194,S194,T194)</f>
        <v>384</v>
      </c>
      <c r="V194" s="1132">
        <v>1510</v>
      </c>
      <c r="W194" s="1037">
        <v>389</v>
      </c>
      <c r="X194" s="1037">
        <v>397</v>
      </c>
      <c r="Y194" s="1037">
        <v>405</v>
      </c>
      <c r="Z194" s="288">
        <f>AA194-SUM(W194,X194,Y194)</f>
        <v>416</v>
      </c>
      <c r="AA194" s="1132">
        <v>1607</v>
      </c>
      <c r="AB194" s="1037">
        <v>412</v>
      </c>
      <c r="AC194" s="1037">
        <v>431</v>
      </c>
      <c r="AD194" s="1037">
        <v>440</v>
      </c>
      <c r="AE194" s="288">
        <f>AF194-SUM(AB194,AC194,AD194)</f>
        <v>459</v>
      </c>
      <c r="AF194" s="1132">
        <v>1742</v>
      </c>
      <c r="AG194" s="1037">
        <v>469</v>
      </c>
      <c r="AH194" s="1037">
        <v>478</v>
      </c>
      <c r="AI194" s="1037">
        <v>475</v>
      </c>
      <c r="AJ194" s="288">
        <f>AK194-SUM(AG194,AH194,AI194)</f>
        <v>493</v>
      </c>
      <c r="AK194" s="1132">
        <v>1915</v>
      </c>
      <c r="AL194" s="1037">
        <v>82</v>
      </c>
      <c r="AM194" s="1037">
        <v>77</v>
      </c>
      <c r="AN194" s="1037">
        <v>73</v>
      </c>
      <c r="AO194" s="288">
        <f>AP194-SUM(AL194,AM194,AN194)</f>
        <v>71</v>
      </c>
      <c r="AP194" s="1132">
        <v>303</v>
      </c>
      <c r="AQ194" s="1037">
        <v>72</v>
      </c>
      <c r="AR194" s="1037">
        <v>72</v>
      </c>
      <c r="AS194" s="1037">
        <v>73</v>
      </c>
      <c r="AT194" s="288">
        <f>AU194-SUM(AQ194,AR194,AS194)</f>
        <v>73</v>
      </c>
      <c r="AU194" s="1132">
        <v>290</v>
      </c>
      <c r="AV194" s="1037">
        <v>80</v>
      </c>
      <c r="AW194" s="1037">
        <v>85</v>
      </c>
      <c r="AX194" s="1037">
        <v>98</v>
      </c>
      <c r="AY194" s="419">
        <f>AZ194-SUM(AV194,AW194,AX194)</f>
        <v>113</v>
      </c>
      <c r="AZ194" s="1132">
        <v>376</v>
      </c>
      <c r="BA194" s="1037">
        <v>122</v>
      </c>
      <c r="BB194" s="1037">
        <f>124+7</f>
        <v>131</v>
      </c>
      <c r="BC194" s="1037">
        <f>126-11</f>
        <v>115</v>
      </c>
      <c r="BD194" s="419">
        <f>BE194-SUM(BA194,BB194,BC194)</f>
        <v>131</v>
      </c>
      <c r="BE194" s="1132">
        <f>502-3</f>
        <v>499</v>
      </c>
      <c r="BF194" s="1037">
        <v>134</v>
      </c>
      <c r="BG194" s="1037">
        <v>136</v>
      </c>
      <c r="BH194" s="1038">
        <f>136+7</f>
        <v>143</v>
      </c>
      <c r="BI194" s="171">
        <f>(BI166+BI167)*BI188/(BJ$3/BI$3)</f>
        <v>132.08510382513663</v>
      </c>
      <c r="BJ194" s="1133">
        <f>SUM(BF194,BG194,BH194,BI194)</f>
        <v>545.08510382513668</v>
      </c>
      <c r="BK194" s="171">
        <f>(BK166+BK167)*BK188/(BO$3/BK$3)</f>
        <v>132.39616438356165</v>
      </c>
      <c r="BL194" s="171">
        <f>(BL166+BL167)*BL188/(BO$3/BL$3)</f>
        <v>132.7521089041096</v>
      </c>
      <c r="BM194" s="171">
        <f>(BM166+BM167)*BM188/(BO$3/BM$3)</f>
        <v>134.75069863013698</v>
      </c>
      <c r="BN194" s="171">
        <f>(BN166+BN167)*BN188/(BO$3/BN$3)</f>
        <v>136.36281589041101</v>
      </c>
      <c r="BO194" s="1133">
        <f>SUM(BK194,BL194,BM194,BN194)</f>
        <v>536.2617878082192</v>
      </c>
      <c r="BP194" s="1131">
        <f>(BP166+BP167)*BP188</f>
        <v>552.12456147536648</v>
      </c>
      <c r="BQ194" s="1131">
        <f>(BQ166+BQ167)*BQ188</f>
        <v>568.47933970004294</v>
      </c>
      <c r="BR194" s="1133">
        <f>(BR166+BR167)*BR188</f>
        <v>585.33999397712591</v>
      </c>
      <c r="BS194" s="32"/>
    </row>
    <row r="195" spans="1:71" s="673" customFormat="1" ht="15" hidden="1" outlineLevel="1">
      <c r="A195" s="114" t="s">
        <v>152</v>
      </c>
      <c r="B195" s="480"/>
      <c r="C195" s="1131"/>
      <c r="D195" s="1131"/>
      <c r="E195" s="1131"/>
      <c r="F195" s="1132">
        <v>36</v>
      </c>
      <c r="G195" s="1132">
        <v>50</v>
      </c>
      <c r="H195" s="1037">
        <v>16</v>
      </c>
      <c r="I195" s="1037">
        <v>16</v>
      </c>
      <c r="J195" s="1037">
        <v>16</v>
      </c>
      <c r="K195" s="288">
        <f>L195-SUM(H195,I195,J195)</f>
        <v>18</v>
      </c>
      <c r="L195" s="1132">
        <v>66</v>
      </c>
      <c r="M195" s="1037">
        <v>17</v>
      </c>
      <c r="N195" s="1037">
        <v>17</v>
      </c>
      <c r="O195" s="1037">
        <v>20</v>
      </c>
      <c r="P195" s="288">
        <f>Q195-SUM(M195,N195,O195)</f>
        <v>22</v>
      </c>
      <c r="Q195" s="1132">
        <v>76</v>
      </c>
      <c r="R195" s="1037">
        <v>19</v>
      </c>
      <c r="S195" s="1037">
        <v>20</v>
      </c>
      <c r="T195" s="1037">
        <v>20</v>
      </c>
      <c r="U195" s="288">
        <f>V195-SUM(R195,S195,T195)</f>
        <v>22</v>
      </c>
      <c r="V195" s="1132">
        <v>81</v>
      </c>
      <c r="W195" s="1037">
        <v>21</v>
      </c>
      <c r="X195" s="1037">
        <v>19</v>
      </c>
      <c r="Y195" s="1037">
        <v>17</v>
      </c>
      <c r="Z195" s="288">
        <f>AA195-SUM(W195,X195,Y195)</f>
        <v>22</v>
      </c>
      <c r="AA195" s="1132">
        <v>79</v>
      </c>
      <c r="AB195" s="1037">
        <v>19</v>
      </c>
      <c r="AC195" s="1037">
        <f>20+15</f>
        <v>35</v>
      </c>
      <c r="AD195" s="1037">
        <f>19+2</f>
        <v>21</v>
      </c>
      <c r="AE195" s="288">
        <f>AF195-SUM(AB195,AC195,AD195)</f>
        <v>26</v>
      </c>
      <c r="AF195" s="1132">
        <f>79+22</f>
        <v>101</v>
      </c>
      <c r="AG195" s="1037">
        <f>22+11</f>
        <v>33</v>
      </c>
      <c r="AH195" s="1037">
        <f>22+7</f>
        <v>29</v>
      </c>
      <c r="AI195" s="1037">
        <f>22+17</f>
        <v>39</v>
      </c>
      <c r="AJ195" s="288">
        <f>AK195-SUM(AG195,AH195,AI195)</f>
        <v>23</v>
      </c>
      <c r="AK195" s="1132">
        <f>85+39</f>
        <v>124</v>
      </c>
      <c r="AL195" s="1037">
        <f>10-17</f>
        <v>-7</v>
      </c>
      <c r="AM195" s="1037">
        <f>8+9</f>
        <v>17</v>
      </c>
      <c r="AN195" s="1037">
        <f>9-2</f>
        <v>7</v>
      </c>
      <c r="AO195" s="288">
        <f>AP195-SUM(AL195,AM195,AN195)</f>
        <v>25</v>
      </c>
      <c r="AP195" s="1132">
        <f>35+7</f>
        <v>42</v>
      </c>
      <c r="AQ195" s="1037">
        <f>8+26</f>
        <v>34</v>
      </c>
      <c r="AR195" s="1037">
        <f>7+8</f>
        <v>15</v>
      </c>
      <c r="AS195" s="1037">
        <f>6+7</f>
        <v>13</v>
      </c>
      <c r="AT195" s="288">
        <f>AU195-SUM(AQ195,AR195,AS195)</f>
        <v>29</v>
      </c>
      <c r="AU195" s="1132">
        <v>91</v>
      </c>
      <c r="AV195" s="1037">
        <f>7+7</f>
        <v>14</v>
      </c>
      <c r="AW195" s="1037">
        <f>8-9</f>
        <v>-1</v>
      </c>
      <c r="AX195" s="1037">
        <f>9-6</f>
        <v>3</v>
      </c>
      <c r="AY195" s="419">
        <f>AZ195-SUM(AV195,AW195,AX195)</f>
        <v>21</v>
      </c>
      <c r="AZ195" s="1132">
        <f>39-2</f>
        <v>37</v>
      </c>
      <c r="BA195" s="1037">
        <f>9+16</f>
        <v>25</v>
      </c>
      <c r="BB195" s="1037">
        <f>9+13</f>
        <v>22</v>
      </c>
      <c r="BC195" s="1037">
        <f>8+7</f>
        <v>15</v>
      </c>
      <c r="BD195" s="419">
        <f>BE195-SUM(BA195,BB195,BC195)</f>
        <v>8</v>
      </c>
      <c r="BE195" s="1132">
        <f>34+36</f>
        <v>70</v>
      </c>
      <c r="BF195" s="1037">
        <f>7+16</f>
        <v>23</v>
      </c>
      <c r="BG195" s="1037">
        <f>7+9</f>
        <v>16</v>
      </c>
      <c r="BH195" s="1038">
        <f>6+20</f>
        <v>26</v>
      </c>
      <c r="BI195" s="171">
        <f>(BI169+BI168)*BI189/(BJ$3/BI$3)</f>
        <v>17.135018852459016</v>
      </c>
      <c r="BJ195" s="1133">
        <f>SUM(BF195,BG195,BH195,BI195)</f>
        <v>82.135018852459012</v>
      </c>
      <c r="BK195" s="171">
        <f>(BK169+BK168)*BK189/(BO$3/BK$3)</f>
        <v>17.082358520547945</v>
      </c>
      <c r="BL195" s="171">
        <f>(BL169+BL168)*BL189/(BO$3/BL$3)</f>
        <v>17.767331399999996</v>
      </c>
      <c r="BM195" s="171">
        <f>(BM169+BM168)*BM189/(BO$3/BM$3)</f>
        <v>18.310458542465753</v>
      </c>
      <c r="BN195" s="171">
        <f>(BN169+BN168)*BN189/(BO$3/BN$3)</f>
        <v>16.838324827397258</v>
      </c>
      <c r="BO195" s="1133">
        <f>SUM(BK195,BL195,BM195,BN195)</f>
        <v>69.998473290410956</v>
      </c>
      <c r="BP195" s="1131">
        <f>(BP169+BP168)*BP189</f>
        <v>68.598503824602744</v>
      </c>
      <c r="BQ195" s="1131">
        <f>(BQ169+BQ168)*BQ189</f>
        <v>67.226533748110683</v>
      </c>
      <c r="BR195" s="1133">
        <f>(BR169+BR168)*BR189</f>
        <v>65.882003073148468</v>
      </c>
      <c r="BS195" s="32"/>
    </row>
    <row r="196" spans="1:71" s="673" customFormat="1" ht="15" hidden="1" outlineLevel="1">
      <c r="A196" s="420" t="s">
        <v>153</v>
      </c>
      <c r="B196" s="480"/>
      <c r="C196" s="1131"/>
      <c r="D196" s="1131"/>
      <c r="E196" s="1131"/>
      <c r="F196" s="1132">
        <v>0</v>
      </c>
      <c r="G196" s="1132">
        <v>0</v>
      </c>
      <c r="H196" s="1037">
        <v>6</v>
      </c>
      <c r="I196" s="1037">
        <v>7</v>
      </c>
      <c r="J196" s="1037">
        <v>2</v>
      </c>
      <c r="K196" s="419">
        <f>L196-SUM(H196,I196,J196)</f>
        <v>3</v>
      </c>
      <c r="L196" s="1132">
        <v>18</v>
      </c>
      <c r="M196" s="1037">
        <v>3</v>
      </c>
      <c r="N196" s="1037">
        <v>5</v>
      </c>
      <c r="O196" s="1037">
        <v>18</v>
      </c>
      <c r="P196" s="419">
        <f>Q196-SUM(M196,N196,O196)</f>
        <v>1</v>
      </c>
      <c r="Q196" s="1132">
        <v>27</v>
      </c>
      <c r="R196" s="1037">
        <v>11</v>
      </c>
      <c r="S196" s="1037">
        <v>4</v>
      </c>
      <c r="T196" s="1037">
        <v>16</v>
      </c>
      <c r="U196" s="419">
        <f>V196-SUM(R196,S196,T196)</f>
        <v>13</v>
      </c>
      <c r="V196" s="1132">
        <v>44</v>
      </c>
      <c r="W196" s="1037">
        <v>10</v>
      </c>
      <c r="X196" s="1037">
        <v>21</v>
      </c>
      <c r="Y196" s="1037">
        <v>20</v>
      </c>
      <c r="Z196" s="419">
        <f>AA196-SUM(W196,X196,Y196)</f>
        <v>13</v>
      </c>
      <c r="AA196" s="1132">
        <v>64</v>
      </c>
      <c r="AB196" s="1037">
        <v>46</v>
      </c>
      <c r="AC196" s="1037">
        <v>41</v>
      </c>
      <c r="AD196" s="1037">
        <v>41</v>
      </c>
      <c r="AE196" s="419">
        <f>AF196-SUM(AB196,AC196,AD196)</f>
        <v>33</v>
      </c>
      <c r="AF196" s="1132">
        <v>161</v>
      </c>
      <c r="AG196" s="1037">
        <v>21</v>
      </c>
      <c r="AH196" s="1037">
        <v>45</v>
      </c>
      <c r="AI196" s="1037">
        <v>43</v>
      </c>
      <c r="AJ196" s="419">
        <f>AK196-SUM(AG196,AH196,AI196)</f>
        <v>45</v>
      </c>
      <c r="AK196" s="1132">
        <v>154</v>
      </c>
      <c r="AL196" s="1037">
        <v>23</v>
      </c>
      <c r="AM196" s="1037">
        <v>-6</v>
      </c>
      <c r="AN196" s="1037">
        <v>36</v>
      </c>
      <c r="AO196" s="419">
        <f>AP196-SUM(AL196,AM196,AN196)</f>
        <v>46</v>
      </c>
      <c r="AP196" s="1132">
        <v>99</v>
      </c>
      <c r="AQ196" s="1037">
        <v>78</v>
      </c>
      <c r="AR196" s="1037">
        <v>71</v>
      </c>
      <c r="AS196" s="1037">
        <v>73</v>
      </c>
      <c r="AT196" s="419">
        <f>AU196-SUM(AQ196,AR196,AS196)</f>
        <v>99</v>
      </c>
      <c r="AU196" s="1132">
        <v>321</v>
      </c>
      <c r="AV196" s="1037">
        <v>133</v>
      </c>
      <c r="AW196" s="1037">
        <v>76</v>
      </c>
      <c r="AX196" s="1037">
        <v>37</v>
      </c>
      <c r="AY196" s="419">
        <f>AZ196-SUM(AV196,AW196,AX196)</f>
        <v>21</v>
      </c>
      <c r="AZ196" s="1132">
        <v>267</v>
      </c>
      <c r="BA196" s="1037">
        <v>57</v>
      </c>
      <c r="BB196" s="1037">
        <v>28</v>
      </c>
      <c r="BC196" s="1037">
        <v>17</v>
      </c>
      <c r="BD196" s="419">
        <f>BE196-SUM(BA196,BB196,BC196)</f>
        <v>-3</v>
      </c>
      <c r="BE196" s="1132">
        <v>99</v>
      </c>
      <c r="BF196" s="1037">
        <v>25</v>
      </c>
      <c r="BG196" s="1037">
        <v>14</v>
      </c>
      <c r="BH196" s="1038">
        <v>6</v>
      </c>
      <c r="BI196" s="171">
        <f>(BI170*BI190)/(BJ3/BI3)</f>
        <v>27.032842622950824</v>
      </c>
      <c r="BJ196" s="1133">
        <f>SUM(BF196,BG196,BH196,BI196)</f>
        <v>72.032842622950824</v>
      </c>
      <c r="BK196" s="171">
        <f>(BK170*BK190)/(BO3/BK3)</f>
        <v>26.817879452054793</v>
      </c>
      <c r="BL196" s="171">
        <f>(BL170*BL190)/(BO3/BL3)</f>
        <v>27.619372602739727</v>
      </c>
      <c r="BM196" s="171">
        <f>(BM170*BM190)/(BO3/BM3)</f>
        <v>28.394501917808224</v>
      </c>
      <c r="BN196" s="171">
        <f>(BN170*BN190)/(BO3/BN3)</f>
        <v>29.275457621917809</v>
      </c>
      <c r="BO196" s="1133">
        <f>SUM(BK196,BL196,BM196,BN196)</f>
        <v>112.10721159452055</v>
      </c>
      <c r="BP196" s="1131">
        <f>BP170*BP190</f>
        <v>121.07578852208221</v>
      </c>
      <c r="BQ196" s="1131">
        <f>BQ170*BQ190</f>
        <v>130.76185160384878</v>
      </c>
      <c r="BR196" s="1133">
        <f>BR170*BR190</f>
        <v>141.22279973215669</v>
      </c>
      <c r="BS196" s="32"/>
    </row>
    <row r="197" spans="1:71" s="673" customFormat="1" ht="15" hidden="1" outlineLevel="1">
      <c r="A197" s="114" t="s">
        <v>154</v>
      </c>
      <c r="B197" s="480"/>
      <c r="C197" s="1131"/>
      <c r="D197" s="1131"/>
      <c r="E197" s="1131"/>
      <c r="F197" s="1132">
        <v>66</v>
      </c>
      <c r="G197" s="1132">
        <v>72</v>
      </c>
      <c r="H197" s="1037">
        <v>17</v>
      </c>
      <c r="I197" s="1037">
        <v>19</v>
      </c>
      <c r="J197" s="1037">
        <v>20</v>
      </c>
      <c r="K197" s="288">
        <f>L197-SUM(H197,I197,J197)</f>
        <v>21</v>
      </c>
      <c r="L197" s="1132">
        <v>77</v>
      </c>
      <c r="M197" s="1037">
        <v>21</v>
      </c>
      <c r="N197" s="1037">
        <v>26</v>
      </c>
      <c r="O197" s="1037">
        <v>22</v>
      </c>
      <c r="P197" s="288">
        <f>Q197-SUM(M197,N197,O197)</f>
        <v>18</v>
      </c>
      <c r="Q197" s="1132">
        <v>87</v>
      </c>
      <c r="R197" s="1037">
        <v>19</v>
      </c>
      <c r="S197" s="1037">
        <v>22</v>
      </c>
      <c r="T197" s="1037">
        <v>23</v>
      </c>
      <c r="U197" s="288">
        <f>V197-SUM(R197,S197,T197)</f>
        <v>17</v>
      </c>
      <c r="V197" s="1132">
        <v>81</v>
      </c>
      <c r="W197" s="1037">
        <v>20</v>
      </c>
      <c r="X197" s="1037">
        <v>27</v>
      </c>
      <c r="Y197" s="1037">
        <v>33</v>
      </c>
      <c r="Z197" s="288">
        <f>AA197-SUM(W197,X197,Y197)</f>
        <v>22</v>
      </c>
      <c r="AA197" s="1132">
        <v>102</v>
      </c>
      <c r="AB197" s="1037">
        <v>23</v>
      </c>
      <c r="AC197" s="1037">
        <v>28</v>
      </c>
      <c r="AD197" s="1037">
        <v>31</v>
      </c>
      <c r="AE197" s="288">
        <f>AF197-SUM(AB197,AC197,AD197)</f>
        <v>30</v>
      </c>
      <c r="AF197" s="1132">
        <v>112</v>
      </c>
      <c r="AG197" s="1037">
        <v>25</v>
      </c>
      <c r="AH197" s="1037">
        <v>34</v>
      </c>
      <c r="AI197" s="1037">
        <v>36</v>
      </c>
      <c r="AJ197" s="288">
        <f>AK197-SUM(AG197,AH197,AI197)</f>
        <v>37</v>
      </c>
      <c r="AK197" s="1132">
        <v>132</v>
      </c>
      <c r="AL197" s="1037">
        <v>8</v>
      </c>
      <c r="AM197" s="1037">
        <v>1</v>
      </c>
      <c r="AN197" s="1037">
        <v>8</v>
      </c>
      <c r="AO197" s="288">
        <f>AP197-SUM(AL197,AM197,AN197)</f>
        <v>6</v>
      </c>
      <c r="AP197" s="1132">
        <v>23</v>
      </c>
      <c r="AQ197" s="1037">
        <v>6</v>
      </c>
      <c r="AR197" s="1037">
        <v>8</v>
      </c>
      <c r="AS197" s="1037">
        <v>14</v>
      </c>
      <c r="AT197" s="288">
        <f>AU197-SUM(AQ197,AR197,AS197)</f>
        <v>12</v>
      </c>
      <c r="AU197" s="1132">
        <v>40</v>
      </c>
      <c r="AV197" s="1037">
        <v>7</v>
      </c>
      <c r="AW197" s="1037">
        <v>13</v>
      </c>
      <c r="AX197" s="1037">
        <v>17</v>
      </c>
      <c r="AY197" s="419">
        <f>AZ197-SUM(AV197,AW197,AX197)</f>
        <v>16</v>
      </c>
      <c r="AZ197" s="1132">
        <v>53</v>
      </c>
      <c r="BA197" s="1037">
        <v>18</v>
      </c>
      <c r="BB197" s="1037">
        <v>22</v>
      </c>
      <c r="BC197" s="1037">
        <v>24</v>
      </c>
      <c r="BD197" s="419">
        <f>BE197-SUM(BA197,BB197,BC197)</f>
        <v>26</v>
      </c>
      <c r="BE197" s="1132">
        <v>90</v>
      </c>
      <c r="BF197" s="1037">
        <v>22</v>
      </c>
      <c r="BG197" s="1037">
        <v>27</v>
      </c>
      <c r="BH197" s="1038">
        <v>31</v>
      </c>
      <c r="BI197" s="171">
        <f>SUM(BI171:BI174)*BI191/(BJ$3/BI$3)</f>
        <v>22.984163934426228</v>
      </c>
      <c r="BJ197" s="1133">
        <f>SUM(BF197,BG197,BH197,BI197)</f>
        <v>102.98416393442622</v>
      </c>
      <c r="BK197" s="171">
        <f>SUM(BK171:BK174)*BK191/(BO$3/BK$3)</f>
        <v>23.574328767123287</v>
      </c>
      <c r="BL197" s="171">
        <f>SUM(BL171:BL174)*BL191/(BO$3/BL$3)</f>
        <v>25.993339726027397</v>
      </c>
      <c r="BM197" s="171">
        <f>SUM(BM171:BM174)*BM191/(BO$3/BM$3)</f>
        <v>27.244602739726023</v>
      </c>
      <c r="BN197" s="171">
        <f>SUM(BN171:BN174)*BN191/(BO$3/BN$3)</f>
        <v>22.806106849315064</v>
      </c>
      <c r="BO197" s="1133">
        <f>SUM(BK197,BL197,BM197,BN197)</f>
        <v>99.618378082191782</v>
      </c>
      <c r="BP197" s="1131">
        <f>SUM(BP171:BP174)*BP191</f>
        <v>98.542579397260255</v>
      </c>
      <c r="BQ197" s="1131">
        <f>SUM(BQ171:BQ174)*BQ191</f>
        <v>98.106338679452023</v>
      </c>
      <c r="BR197" s="1133">
        <f>SUM(BR171:BR174)*BR191</f>
        <v>98.365543235342429</v>
      </c>
      <c r="BS197" s="32"/>
    </row>
    <row r="198" spans="1:71" s="673" customFormat="1" ht="15" hidden="1" outlineLevel="1">
      <c r="A198" s="115" t="s">
        <v>155</v>
      </c>
      <c r="B198" s="481"/>
      <c r="C198" s="1134"/>
      <c r="D198" s="1134"/>
      <c r="E198" s="1134"/>
      <c r="F198" s="1135">
        <v>-17</v>
      </c>
      <c r="G198" s="1135">
        <v>-17</v>
      </c>
      <c r="H198" s="1040">
        <v>-5</v>
      </c>
      <c r="I198" s="1040">
        <v>-1</v>
      </c>
      <c r="J198" s="1040">
        <v>-3</v>
      </c>
      <c r="K198" s="39">
        <f>L198-SUM(H198,I198,J198)</f>
        <v>-3</v>
      </c>
      <c r="L198" s="1135">
        <v>-12</v>
      </c>
      <c r="M198" s="1040">
        <v>-5</v>
      </c>
      <c r="N198" s="1040">
        <v>-4</v>
      </c>
      <c r="O198" s="1040">
        <v>-5</v>
      </c>
      <c r="P198" s="39">
        <f>Q198-SUM(M198,N198,O198)</f>
        <v>-4</v>
      </c>
      <c r="Q198" s="1135">
        <v>-18</v>
      </c>
      <c r="R198" s="1040">
        <v>-5</v>
      </c>
      <c r="S198" s="1040">
        <v>-4</v>
      </c>
      <c r="T198" s="1040">
        <v>-4</v>
      </c>
      <c r="U198" s="39">
        <f>V198-SUM(R198,S198,T198)</f>
        <v>-7</v>
      </c>
      <c r="V198" s="1135">
        <v>-20</v>
      </c>
      <c r="W198" s="1040">
        <v>-5</v>
      </c>
      <c r="X198" s="1040">
        <v>-4</v>
      </c>
      <c r="Y198" s="1040">
        <v>-4</v>
      </c>
      <c r="Z198" s="39">
        <f>AA198-SUM(W198,X198,Y198)</f>
        <v>-8</v>
      </c>
      <c r="AA198" s="1135">
        <v>-21</v>
      </c>
      <c r="AB198" s="1040">
        <v>-5</v>
      </c>
      <c r="AC198" s="1040">
        <v>-5</v>
      </c>
      <c r="AD198" s="1040">
        <v>-6</v>
      </c>
      <c r="AE198" s="39">
        <f>AF198-SUM(AB198,AC198,AD198)</f>
        <v>-6</v>
      </c>
      <c r="AF198" s="1135">
        <v>-22</v>
      </c>
      <c r="AG198" s="1040">
        <v>-6</v>
      </c>
      <c r="AH198" s="1040">
        <v>-6</v>
      </c>
      <c r="AI198" s="1040">
        <v>-5</v>
      </c>
      <c r="AJ198" s="39">
        <f>AK198-SUM(AG198,AH198,AI198)</f>
        <v>-5</v>
      </c>
      <c r="AK198" s="1135">
        <v>-22</v>
      </c>
      <c r="AL198" s="1040">
        <v>-2</v>
      </c>
      <c r="AM198" s="1040">
        <v>-1</v>
      </c>
      <c r="AN198" s="1040">
        <v>-2</v>
      </c>
      <c r="AO198" s="39">
        <f>AP198-SUM(AL198,AM198,AN198)</f>
        <v>-1</v>
      </c>
      <c r="AP198" s="1135">
        <v>-6</v>
      </c>
      <c r="AQ198" s="1040">
        <v>-2</v>
      </c>
      <c r="AR198" s="1040">
        <v>-2</v>
      </c>
      <c r="AS198" s="1040">
        <v>-4</v>
      </c>
      <c r="AT198" s="39">
        <f>AU198-SUM(AQ198,AR198,AS198)</f>
        <v>-4</v>
      </c>
      <c r="AU198" s="1135">
        <v>-12</v>
      </c>
      <c r="AV198" s="1040">
        <v>-4</v>
      </c>
      <c r="AW198" s="1040">
        <v>-5</v>
      </c>
      <c r="AX198" s="1040">
        <v>-4</v>
      </c>
      <c r="AY198" s="363">
        <f>AZ198-SUM(AV198,AW198,AX198)</f>
        <v>-3</v>
      </c>
      <c r="AZ198" s="1135">
        <v>-16</v>
      </c>
      <c r="BA198" s="1040">
        <v>-5</v>
      </c>
      <c r="BB198" s="1040">
        <v>-5</v>
      </c>
      <c r="BC198" s="1040">
        <v>-3</v>
      </c>
      <c r="BD198" s="363">
        <f>BE198-SUM(BA198,BB198,BC198)</f>
        <v>-3</v>
      </c>
      <c r="BE198" s="1135">
        <v>-16</v>
      </c>
      <c r="BF198" s="1040">
        <v>-6</v>
      </c>
      <c r="BG198" s="1040">
        <v>-5</v>
      </c>
      <c r="BH198" s="1044">
        <v>-6</v>
      </c>
      <c r="BI198" s="1040">
        <v>-5</v>
      </c>
      <c r="BJ198" s="1134">
        <f>SUM(BF198,BG198,BH198,BI198)</f>
        <v>-22</v>
      </c>
      <c r="BK198" s="1040">
        <v>-5</v>
      </c>
      <c r="BL198" s="1040">
        <v>-5</v>
      </c>
      <c r="BM198" s="1040">
        <v>-5</v>
      </c>
      <c r="BN198" s="1040">
        <v>-5</v>
      </c>
      <c r="BO198" s="1134">
        <f>SUM(BK198,BL198,BM198,BN198)</f>
        <v>-20</v>
      </c>
      <c r="BP198" s="1135">
        <v>-20</v>
      </c>
      <c r="BQ198" s="1135">
        <v>-20</v>
      </c>
      <c r="BR198" s="1135">
        <v>-20</v>
      </c>
      <c r="BS198" s="32"/>
    </row>
    <row r="199" spans="1:71" s="674" customFormat="1" ht="15" hidden="1" outlineLevel="1">
      <c r="A199" s="101" t="s">
        <v>156</v>
      </c>
      <c r="B199" s="486"/>
      <c r="C199" s="1180">
        <f>C222</f>
        <v>1200</v>
      </c>
      <c r="D199" s="1180">
        <f>D222</f>
        <v>1191</v>
      </c>
      <c r="E199" s="1180">
        <f>E222</f>
        <v>1241</v>
      </c>
      <c r="F199" s="1180">
        <f t="shared" si="559" ref="F199:AK199">SUM(F194:F198)</f>
        <v>1301</v>
      </c>
      <c r="G199" s="1180">
        <f t="shared" si="559"/>
        <v>1346</v>
      </c>
      <c r="H199" s="287">
        <f t="shared" si="559"/>
        <v>361</v>
      </c>
      <c r="I199" s="287">
        <f t="shared" si="559"/>
        <v>379</v>
      </c>
      <c r="J199" s="287">
        <f t="shared" si="559"/>
        <v>377</v>
      </c>
      <c r="K199" s="287">
        <f t="shared" si="559"/>
        <v>384</v>
      </c>
      <c r="L199" s="1180">
        <f t="shared" si="559"/>
        <v>1501</v>
      </c>
      <c r="M199" s="287">
        <f t="shared" si="559"/>
        <v>388</v>
      </c>
      <c r="N199" s="287">
        <f t="shared" si="559"/>
        <v>404</v>
      </c>
      <c r="O199" s="287">
        <f t="shared" si="559"/>
        <v>425</v>
      </c>
      <c r="P199" s="287">
        <f t="shared" si="559"/>
        <v>416</v>
      </c>
      <c r="Q199" s="1180">
        <f t="shared" si="559"/>
        <v>1633</v>
      </c>
      <c r="R199" s="287">
        <f t="shared" si="559"/>
        <v>411</v>
      </c>
      <c r="S199" s="287">
        <f t="shared" si="559"/>
        <v>423</v>
      </c>
      <c r="T199" s="287">
        <f t="shared" si="559"/>
        <v>433</v>
      </c>
      <c r="U199" s="287">
        <f t="shared" si="559"/>
        <v>429</v>
      </c>
      <c r="V199" s="1180">
        <f t="shared" si="559"/>
        <v>1696</v>
      </c>
      <c r="W199" s="287">
        <f t="shared" si="559"/>
        <v>435</v>
      </c>
      <c r="X199" s="287">
        <f t="shared" si="559"/>
        <v>460</v>
      </c>
      <c r="Y199" s="287">
        <f t="shared" si="559"/>
        <v>471</v>
      </c>
      <c r="Z199" s="287">
        <f t="shared" si="559"/>
        <v>465</v>
      </c>
      <c r="AA199" s="1180">
        <f t="shared" si="559"/>
        <v>1831</v>
      </c>
      <c r="AB199" s="287">
        <f t="shared" si="559"/>
        <v>495</v>
      </c>
      <c r="AC199" s="287">
        <f t="shared" si="559"/>
        <v>530</v>
      </c>
      <c r="AD199" s="287">
        <f t="shared" si="559"/>
        <v>527</v>
      </c>
      <c r="AE199" s="287">
        <f t="shared" si="559"/>
        <v>542</v>
      </c>
      <c r="AF199" s="1180">
        <f t="shared" si="559"/>
        <v>2094</v>
      </c>
      <c r="AG199" s="287">
        <f t="shared" si="559"/>
        <v>542</v>
      </c>
      <c r="AH199" s="287">
        <f t="shared" si="559"/>
        <v>580</v>
      </c>
      <c r="AI199" s="287">
        <f t="shared" si="559"/>
        <v>588</v>
      </c>
      <c r="AJ199" s="287">
        <f t="shared" si="559"/>
        <v>593</v>
      </c>
      <c r="AK199" s="1180">
        <f t="shared" si="559"/>
        <v>2303</v>
      </c>
      <c r="AL199" s="287">
        <f t="shared" si="560" ref="AL199:AS199">SUM(AL194:AL198)</f>
        <v>104</v>
      </c>
      <c r="AM199" s="287">
        <f t="shared" si="560"/>
        <v>88</v>
      </c>
      <c r="AN199" s="287">
        <f t="shared" si="560"/>
        <v>122</v>
      </c>
      <c r="AO199" s="287">
        <f t="shared" si="560"/>
        <v>147</v>
      </c>
      <c r="AP199" s="1180">
        <f t="shared" si="560"/>
        <v>461</v>
      </c>
      <c r="AQ199" s="287">
        <f t="shared" si="560"/>
        <v>188</v>
      </c>
      <c r="AR199" s="287">
        <f t="shared" si="560"/>
        <v>164</v>
      </c>
      <c r="AS199" s="287">
        <f t="shared" si="560"/>
        <v>169</v>
      </c>
      <c r="AT199" s="287">
        <f>AT222</f>
        <v>209</v>
      </c>
      <c r="AU199" s="1180">
        <f>SUM(AU194:AU198)</f>
        <v>730</v>
      </c>
      <c r="AV199" s="287">
        <f>SUM(AV194:AV198)</f>
        <v>230</v>
      </c>
      <c r="AW199" s="287">
        <f>SUM(AW194:AW198)</f>
        <v>168</v>
      </c>
      <c r="AX199" s="287">
        <f>SUM(AX194:AX198)</f>
        <v>151</v>
      </c>
      <c r="AY199" s="287">
        <f>AY222</f>
        <v>168</v>
      </c>
      <c r="AZ199" s="1180">
        <f>AZ222</f>
        <v>717</v>
      </c>
      <c r="BA199" s="287">
        <f>BA222</f>
        <v>217</v>
      </c>
      <c r="BB199" s="287">
        <f>BB222</f>
        <v>198</v>
      </c>
      <c r="BC199" s="287">
        <f>SUM(BC194:BC198)</f>
        <v>168</v>
      </c>
      <c r="BD199" s="287">
        <f t="shared" si="561" ref="BD199:BG199">SUM(BD194:BD198)</f>
        <v>159</v>
      </c>
      <c r="BE199" s="1180">
        <f t="shared" si="561"/>
        <v>742</v>
      </c>
      <c r="BF199" s="287">
        <f t="shared" si="561"/>
        <v>198</v>
      </c>
      <c r="BG199" s="287">
        <f t="shared" si="561"/>
        <v>188</v>
      </c>
      <c r="BH199" s="888">
        <f>SUM(BH194:BH198)</f>
        <v>200</v>
      </c>
      <c r="BI199" s="159">
        <f>SUM(BI194:BI198)</f>
        <v>194.23712923497268</v>
      </c>
      <c r="BJ199" s="1148">
        <f>SUM(BJ194:BJ198)</f>
        <v>780.23712923497271</v>
      </c>
      <c r="BK199" s="159">
        <f t="shared" si="562" ref="BK199:BR199">SUM(BK194:BK198)</f>
        <v>194.8707311232877</v>
      </c>
      <c r="BL199" s="159">
        <f t="shared" si="562"/>
        <v>199.13215263287671</v>
      </c>
      <c r="BM199" s="159">
        <f t="shared" si="562"/>
        <v>203.70026183013698</v>
      </c>
      <c r="BN199" s="159">
        <f t="shared" si="562"/>
        <v>200.28270518904114</v>
      </c>
      <c r="BO199" s="1148">
        <f>SUM(BO194:BO198)</f>
        <v>797.98585077534244</v>
      </c>
      <c r="BP199" s="1147">
        <f t="shared" si="562"/>
        <v>820.34143321931174</v>
      </c>
      <c r="BQ199" s="1147">
        <f t="shared" si="562"/>
        <v>844.57406373145443</v>
      </c>
      <c r="BR199" s="1148">
        <f t="shared" si="562"/>
        <v>870.81034001777346</v>
      </c>
      <c r="BS199" s="37"/>
    </row>
    <row r="200" spans="1:71" s="674" customFormat="1" ht="15" hidden="1" outlineLevel="1">
      <c r="A200" s="485"/>
      <c r="B200" s="486"/>
      <c r="C200" s="1147"/>
      <c r="D200" s="1147"/>
      <c r="E200" s="1147"/>
      <c r="F200" s="1147"/>
      <c r="G200" s="1147"/>
      <c r="H200" s="426"/>
      <c r="I200" s="426"/>
      <c r="J200" s="426"/>
      <c r="K200" s="426"/>
      <c r="L200" s="1147"/>
      <c r="M200" s="426"/>
      <c r="N200" s="426"/>
      <c r="O200" s="426"/>
      <c r="P200" s="426"/>
      <c r="Q200" s="1147"/>
      <c r="R200" s="426"/>
      <c r="S200" s="426"/>
      <c r="T200" s="426"/>
      <c r="U200" s="426"/>
      <c r="V200" s="1147"/>
      <c r="W200" s="426"/>
      <c r="X200" s="426"/>
      <c r="Y200" s="426"/>
      <c r="Z200" s="426"/>
      <c r="AA200" s="1147"/>
      <c r="AB200" s="426"/>
      <c r="AC200" s="426"/>
      <c r="AD200" s="426"/>
      <c r="AE200" s="426"/>
      <c r="AF200" s="1147"/>
      <c r="AG200" s="426"/>
      <c r="AH200" s="426"/>
      <c r="AI200" s="426"/>
      <c r="AJ200" s="426"/>
      <c r="AK200" s="1147"/>
      <c r="AL200" s="426"/>
      <c r="AM200" s="426"/>
      <c r="AN200" s="426"/>
      <c r="AO200" s="426"/>
      <c r="AP200" s="1147"/>
      <c r="AQ200" s="426"/>
      <c r="AR200" s="426"/>
      <c r="AS200" s="426"/>
      <c r="AT200" s="426"/>
      <c r="AU200" s="1147"/>
      <c r="AV200" s="426"/>
      <c r="AW200" s="426"/>
      <c r="AX200" s="426"/>
      <c r="AY200" s="426"/>
      <c r="AZ200" s="1147"/>
      <c r="BA200" s="426"/>
      <c r="BB200" s="426"/>
      <c r="BC200" s="426"/>
      <c r="BD200" s="426"/>
      <c r="BE200" s="1147"/>
      <c r="BF200" s="426"/>
      <c r="BG200" s="426"/>
      <c r="BH200" s="487"/>
      <c r="BI200" s="159"/>
      <c r="BJ200" s="1148"/>
      <c r="BK200" s="159"/>
      <c r="BL200" s="159"/>
      <c r="BM200" s="159"/>
      <c r="BN200" s="159"/>
      <c r="BO200" s="1148"/>
      <c r="BP200" s="1147"/>
      <c r="BQ200" s="1147"/>
      <c r="BR200" s="1148"/>
      <c r="BS200" s="37"/>
    </row>
    <row r="201" spans="1:71" s="674" customFormat="1" ht="15" hidden="1" outlineLevel="1">
      <c r="A201" s="101" t="s">
        <v>157</v>
      </c>
      <c r="B201" s="486"/>
      <c r="C201" s="1180">
        <f t="shared" si="563" ref="C201:AK201">C265</f>
        <v>38</v>
      </c>
      <c r="D201" s="1180">
        <f t="shared" si="563"/>
        <v>88</v>
      </c>
      <c r="E201" s="1180">
        <f t="shared" si="563"/>
        <v>73</v>
      </c>
      <c r="F201" s="1180">
        <f t="shared" si="563"/>
        <v>371</v>
      </c>
      <c r="G201" s="1180">
        <f t="shared" si="563"/>
        <v>217</v>
      </c>
      <c r="H201" s="287">
        <f t="shared" si="563"/>
        <v>19</v>
      </c>
      <c r="I201" s="287">
        <f t="shared" si="563"/>
        <v>12</v>
      </c>
      <c r="J201" s="287">
        <f t="shared" si="563"/>
        <v>13</v>
      </c>
      <c r="K201" s="287">
        <f t="shared" si="563"/>
        <v>8</v>
      </c>
      <c r="L201" s="1180">
        <f t="shared" si="563"/>
        <v>52</v>
      </c>
      <c r="M201" s="287">
        <f t="shared" si="563"/>
        <v>-143</v>
      </c>
      <c r="N201" s="287">
        <f t="shared" si="563"/>
        <v>-1</v>
      </c>
      <c r="O201" s="287">
        <f t="shared" si="563"/>
        <v>-11</v>
      </c>
      <c r="P201" s="287">
        <f t="shared" si="563"/>
        <v>-25</v>
      </c>
      <c r="Q201" s="1180">
        <f t="shared" si="563"/>
        <v>-180</v>
      </c>
      <c r="R201" s="287">
        <f t="shared" si="563"/>
        <v>-18</v>
      </c>
      <c r="S201" s="287">
        <f t="shared" si="563"/>
        <v>-14</v>
      </c>
      <c r="T201" s="287">
        <f t="shared" si="563"/>
        <v>2</v>
      </c>
      <c r="U201" s="287">
        <f t="shared" si="563"/>
        <v>51</v>
      </c>
      <c r="V201" s="1180">
        <f t="shared" si="563"/>
        <v>21</v>
      </c>
      <c r="W201" s="287">
        <f t="shared" si="563"/>
        <v>3</v>
      </c>
      <c r="X201" s="287">
        <f t="shared" si="563"/>
        <v>8</v>
      </c>
      <c r="Y201" s="287">
        <f t="shared" si="563"/>
        <v>-12</v>
      </c>
      <c r="Z201" s="287">
        <f t="shared" si="563"/>
        <v>6</v>
      </c>
      <c r="AA201" s="1180">
        <f t="shared" si="563"/>
        <v>5</v>
      </c>
      <c r="AB201" s="287">
        <f t="shared" si="563"/>
        <v>-93</v>
      </c>
      <c r="AC201" s="287">
        <f t="shared" si="563"/>
        <v>31</v>
      </c>
      <c r="AD201" s="287">
        <f t="shared" si="563"/>
        <v>34</v>
      </c>
      <c r="AE201" s="287">
        <f t="shared" si="563"/>
        <v>-238</v>
      </c>
      <c r="AF201" s="1180">
        <f t="shared" si="563"/>
        <v>-266</v>
      </c>
      <c r="AG201" s="287">
        <f t="shared" si="563"/>
        <v>184</v>
      </c>
      <c r="AH201" s="287">
        <f t="shared" si="563"/>
        <v>56</v>
      </c>
      <c r="AI201" s="287">
        <f t="shared" si="563"/>
        <v>-18</v>
      </c>
      <c r="AJ201" s="287">
        <f t="shared" si="563"/>
        <v>65</v>
      </c>
      <c r="AK201" s="1180">
        <f t="shared" si="563"/>
        <v>287</v>
      </c>
      <c r="AL201" s="287">
        <f t="shared" si="564" ref="AL201:AQ201">AL265</f>
        <v>-328</v>
      </c>
      <c r="AM201" s="287">
        <f t="shared" si="564"/>
        <v>108</v>
      </c>
      <c r="AN201" s="287">
        <f t="shared" si="564"/>
        <v>-7</v>
      </c>
      <c r="AO201" s="287">
        <f t="shared" si="564"/>
        <v>175</v>
      </c>
      <c r="AP201" s="1180">
        <f t="shared" si="564"/>
        <v>-52</v>
      </c>
      <c r="AQ201" s="287">
        <f t="shared" si="564"/>
        <v>77</v>
      </c>
      <c r="AR201" s="287">
        <f t="shared" si="565" ref="AR201:AW201">AR265</f>
        <v>47</v>
      </c>
      <c r="AS201" s="287">
        <f t="shared" si="565"/>
        <v>-17</v>
      </c>
      <c r="AT201" s="287">
        <f t="shared" si="565"/>
        <v>7</v>
      </c>
      <c r="AU201" s="1180">
        <f t="shared" si="565"/>
        <v>114</v>
      </c>
      <c r="AV201" s="287">
        <f t="shared" si="565"/>
        <v>-15</v>
      </c>
      <c r="AW201" s="287">
        <f t="shared" si="565"/>
        <v>-93</v>
      </c>
      <c r="AX201" s="287">
        <f t="shared" si="566" ref="AX201:BC201">AX265</f>
        <v>-35</v>
      </c>
      <c r="AY201" s="287">
        <f t="shared" si="566"/>
        <v>27</v>
      </c>
      <c r="AZ201" s="1180">
        <f t="shared" si="566"/>
        <v>-116</v>
      </c>
      <c r="BA201" s="287">
        <f t="shared" si="566"/>
        <v>-46</v>
      </c>
      <c r="BB201" s="287">
        <f t="shared" si="566"/>
        <v>-2</v>
      </c>
      <c r="BC201" s="287">
        <f t="shared" si="566"/>
        <v>-23</v>
      </c>
      <c r="BD201" s="287">
        <f>BD265</f>
        <v>31</v>
      </c>
      <c r="BE201" s="1180">
        <f>BE265</f>
        <v>-40</v>
      </c>
      <c r="BF201" s="287">
        <f>BF265</f>
        <v>14</v>
      </c>
      <c r="BG201" s="287">
        <f>BG265</f>
        <v>-2</v>
      </c>
      <c r="BH201" s="888">
        <f>BH265</f>
        <v>-2</v>
      </c>
      <c r="BI201" s="1064">
        <v>50</v>
      </c>
      <c r="BJ201" s="1148">
        <f>SUM(BF201,BG201,BH201,BI201)</f>
        <v>60</v>
      </c>
      <c r="BK201" s="1064">
        <v>35</v>
      </c>
      <c r="BL201" s="1064">
        <v>35</v>
      </c>
      <c r="BM201" s="1064">
        <v>35</v>
      </c>
      <c r="BN201" s="1064">
        <v>50</v>
      </c>
      <c r="BO201" s="1148">
        <f>SUM(BK201,BL201,BM201,BN201)</f>
        <v>155</v>
      </c>
      <c r="BP201" s="1194">
        <v>140</v>
      </c>
      <c r="BQ201" s="1194">
        <v>140</v>
      </c>
      <c r="BR201" s="1195">
        <v>140</v>
      </c>
      <c r="BS201" s="37"/>
    </row>
    <row r="202" spans="1:71" s="667" customFormat="1" ht="15" collapsed="1">
      <c r="A202" s="499"/>
      <c r="B202" s="492"/>
      <c r="C202" s="1161"/>
      <c r="D202" s="1161"/>
      <c r="E202" s="1161"/>
      <c r="F202" s="1161"/>
      <c r="G202" s="1161"/>
      <c r="H202" s="971"/>
      <c r="I202" s="971"/>
      <c r="J202" s="971"/>
      <c r="K202" s="971"/>
      <c r="L202" s="1161"/>
      <c r="M202" s="971"/>
      <c r="N202" s="971"/>
      <c r="O202" s="971"/>
      <c r="P202" s="971"/>
      <c r="Q202" s="1161"/>
      <c r="R202" s="971"/>
      <c r="S202" s="971"/>
      <c r="T202" s="971"/>
      <c r="U202" s="971"/>
      <c r="V202" s="1161"/>
      <c r="W202" s="971"/>
      <c r="X202" s="971"/>
      <c r="Y202" s="971"/>
      <c r="Z202" s="971"/>
      <c r="AA202" s="1161"/>
      <c r="AB202" s="971"/>
      <c r="AC202" s="971"/>
      <c r="AD202" s="971"/>
      <c r="AE202" s="971"/>
      <c r="AF202" s="1161"/>
      <c r="AG202" s="971"/>
      <c r="AH202" s="971"/>
      <c r="AI202" s="971"/>
      <c r="AJ202" s="971"/>
      <c r="AK202" s="1161"/>
      <c r="AL202" s="971"/>
      <c r="AM202" s="971"/>
      <c r="AN202" s="971"/>
      <c r="AO202" s="971"/>
      <c r="AP202" s="1161"/>
      <c r="AQ202" s="971"/>
      <c r="AR202" s="971"/>
      <c r="AS202" s="971"/>
      <c r="AT202" s="971"/>
      <c r="AU202" s="1161"/>
      <c r="AV202" s="971"/>
      <c r="AW202" s="971"/>
      <c r="AX202" s="971"/>
      <c r="AY202" s="971"/>
      <c r="AZ202" s="1161"/>
      <c r="BA202" s="971"/>
      <c r="BB202" s="971"/>
      <c r="BC202" s="971"/>
      <c r="BD202" s="971"/>
      <c r="BE202" s="1161"/>
      <c r="BF202" s="971"/>
      <c r="BG202" s="971"/>
      <c r="BH202" s="972"/>
      <c r="BI202" s="973"/>
      <c r="BJ202" s="1162"/>
      <c r="BK202" s="973"/>
      <c r="BL202" s="973"/>
      <c r="BM202" s="973"/>
      <c r="BN202" s="973"/>
      <c r="BO202" s="1162"/>
      <c r="BP202" s="1161"/>
      <c r="BQ202" s="1161"/>
      <c r="BR202" s="1162"/>
      <c r="BS202" s="664"/>
    </row>
    <row r="203" spans="1:71" s="672" customFormat="1" ht="15">
      <c r="A203" s="951" t="s">
        <v>202</v>
      </c>
      <c r="B203" s="951"/>
      <c r="C203" s="967"/>
      <c r="D203" s="967"/>
      <c r="E203" s="967"/>
      <c r="F203" s="967"/>
      <c r="G203" s="967"/>
      <c r="H203" s="967"/>
      <c r="I203" s="967"/>
      <c r="J203" s="967"/>
      <c r="K203" s="967"/>
      <c r="L203" s="967"/>
      <c r="M203" s="967"/>
      <c r="N203" s="967"/>
      <c r="O203" s="967"/>
      <c r="P203" s="967"/>
      <c r="Q203" s="967"/>
      <c r="R203" s="967"/>
      <c r="S203" s="967"/>
      <c r="T203" s="967"/>
      <c r="U203" s="967"/>
      <c r="V203" s="967"/>
      <c r="W203" s="967"/>
      <c r="X203" s="967"/>
      <c r="Y203" s="967"/>
      <c r="Z203" s="967"/>
      <c r="AA203" s="967"/>
      <c r="AB203" s="967"/>
      <c r="AC203" s="967"/>
      <c r="AD203" s="967"/>
      <c r="AE203" s="967"/>
      <c r="AF203" s="967"/>
      <c r="AG203" s="967"/>
      <c r="AH203" s="967"/>
      <c r="AI203" s="967"/>
      <c r="AJ203" s="967"/>
      <c r="AK203" s="967"/>
      <c r="AL203" s="967"/>
      <c r="AM203" s="967"/>
      <c r="AN203" s="967"/>
      <c r="AO203" s="967"/>
      <c r="AP203" s="967"/>
      <c r="AQ203" s="967"/>
      <c r="AR203" s="967"/>
      <c r="AS203" s="967"/>
      <c r="AT203" s="967"/>
      <c r="AU203" s="967"/>
      <c r="AV203" s="967"/>
      <c r="AW203" s="967"/>
      <c r="AX203" s="967"/>
      <c r="AY203" s="967"/>
      <c r="AZ203" s="967"/>
      <c r="BA203" s="967"/>
      <c r="BB203" s="967"/>
      <c r="BC203" s="967"/>
      <c r="BD203" s="967"/>
      <c r="BE203" s="967"/>
      <c r="BF203" s="967"/>
      <c r="BG203" s="967"/>
      <c r="BH203" s="968"/>
      <c r="BI203" s="969"/>
      <c r="BJ203" s="969"/>
      <c r="BK203" s="969"/>
      <c r="BL203" s="969"/>
      <c r="BM203" s="969"/>
      <c r="BN203" s="969"/>
      <c r="BO203" s="969"/>
      <c r="BP203" s="967"/>
      <c r="BQ203" s="967"/>
      <c r="BR203" s="969"/>
      <c r="BS203" s="456"/>
    </row>
    <row r="204" spans="1:71" s="673" customFormat="1" ht="15" hidden="1" outlineLevel="1">
      <c r="A204" s="114" t="s">
        <v>158</v>
      </c>
      <c r="B204" s="480"/>
      <c r="C204" s="1140">
        <f t="shared" si="567" ref="C204:AK204">C221</f>
        <v>444</v>
      </c>
      <c r="D204" s="1140">
        <f t="shared" si="567"/>
        <v>451</v>
      </c>
      <c r="E204" s="1140">
        <f t="shared" si="567"/>
        <v>430</v>
      </c>
      <c r="F204" s="1140">
        <f t="shared" si="567"/>
        <v>318</v>
      </c>
      <c r="G204" s="1140">
        <f t="shared" si="567"/>
        <v>114</v>
      </c>
      <c r="H204" s="288">
        <f t="shared" si="567"/>
        <v>28</v>
      </c>
      <c r="I204" s="288">
        <f t="shared" si="567"/>
        <v>27</v>
      </c>
      <c r="J204" s="288">
        <f t="shared" si="567"/>
        <v>27</v>
      </c>
      <c r="K204" s="288">
        <f t="shared" si="567"/>
        <v>26</v>
      </c>
      <c r="L204" s="1140">
        <f t="shared" si="567"/>
        <v>108</v>
      </c>
      <c r="M204" s="288">
        <f t="shared" si="567"/>
        <v>25</v>
      </c>
      <c r="N204" s="288">
        <f t="shared" si="567"/>
        <v>27</v>
      </c>
      <c r="O204" s="288">
        <f t="shared" si="567"/>
        <v>28</v>
      </c>
      <c r="P204" s="288">
        <f t="shared" si="567"/>
        <v>24</v>
      </c>
      <c r="Q204" s="1140">
        <f t="shared" si="567"/>
        <v>104</v>
      </c>
      <c r="R204" s="288">
        <f t="shared" si="567"/>
        <v>6</v>
      </c>
      <c r="S204" s="288">
        <f t="shared" si="567"/>
        <v>6</v>
      </c>
      <c r="T204" s="288">
        <f t="shared" si="567"/>
        <v>6</v>
      </c>
      <c r="U204" s="288">
        <f t="shared" si="567"/>
        <v>6</v>
      </c>
      <c r="V204" s="1140">
        <f t="shared" si="567"/>
        <v>24</v>
      </c>
      <c r="W204" s="288">
        <f t="shared" si="567"/>
        <v>6</v>
      </c>
      <c r="X204" s="288">
        <f t="shared" si="567"/>
        <v>5</v>
      </c>
      <c r="Y204" s="288">
        <f t="shared" si="567"/>
        <v>6</v>
      </c>
      <c r="Z204" s="288">
        <f t="shared" si="567"/>
        <v>5</v>
      </c>
      <c r="AA204" s="1140">
        <f t="shared" si="567"/>
        <v>22</v>
      </c>
      <c r="AB204" s="288">
        <f t="shared" si="567"/>
        <v>6</v>
      </c>
      <c r="AC204" s="288">
        <f t="shared" si="567"/>
        <v>6</v>
      </c>
      <c r="AD204" s="288">
        <f t="shared" si="567"/>
        <v>6</v>
      </c>
      <c r="AE204" s="288">
        <f t="shared" si="567"/>
        <v>6</v>
      </c>
      <c r="AF204" s="1140">
        <f t="shared" si="567"/>
        <v>24</v>
      </c>
      <c r="AG204" s="288">
        <f t="shared" si="567"/>
        <v>6</v>
      </c>
      <c r="AH204" s="288">
        <f t="shared" si="567"/>
        <v>5</v>
      </c>
      <c r="AI204" s="288">
        <f t="shared" si="567"/>
        <v>6</v>
      </c>
      <c r="AJ204" s="288">
        <f t="shared" si="567"/>
        <v>5</v>
      </c>
      <c r="AK204" s="1140">
        <f t="shared" si="567"/>
        <v>22</v>
      </c>
      <c r="AL204" s="288">
        <f t="shared" si="568" ref="AL204:AQ204">AL221</f>
        <v>0</v>
      </c>
      <c r="AM204" s="288">
        <f t="shared" si="568"/>
        <v>0</v>
      </c>
      <c r="AN204" s="288">
        <f t="shared" si="568"/>
        <v>0</v>
      </c>
      <c r="AO204" s="288">
        <f t="shared" si="568"/>
        <v>0</v>
      </c>
      <c r="AP204" s="1140">
        <f t="shared" si="568"/>
        <v>0</v>
      </c>
      <c r="AQ204" s="288">
        <f t="shared" si="568"/>
        <v>0</v>
      </c>
      <c r="AR204" s="288">
        <f t="shared" si="569" ref="AR204:AW204">AR221</f>
        <v>0</v>
      </c>
      <c r="AS204" s="288">
        <f t="shared" si="569"/>
        <v>0</v>
      </c>
      <c r="AT204" s="288">
        <f t="shared" si="569"/>
        <v>0</v>
      </c>
      <c r="AU204" s="1140">
        <f t="shared" si="569"/>
        <v>0</v>
      </c>
      <c r="AV204" s="288">
        <f t="shared" si="569"/>
        <v>0</v>
      </c>
      <c r="AW204" s="288">
        <f t="shared" si="569"/>
        <v>0</v>
      </c>
      <c r="AX204" s="288">
        <f t="shared" si="570" ref="AX204:BC204">AX221</f>
        <v>0</v>
      </c>
      <c r="AY204" s="288">
        <f t="shared" si="570"/>
        <v>0</v>
      </c>
      <c r="AZ204" s="1140">
        <f t="shared" si="570"/>
        <v>0</v>
      </c>
      <c r="BA204" s="288">
        <f t="shared" si="570"/>
        <v>0</v>
      </c>
      <c r="BB204" s="288">
        <f t="shared" si="570"/>
        <v>0</v>
      </c>
      <c r="BC204" s="288">
        <f t="shared" si="570"/>
        <v>0</v>
      </c>
      <c r="BD204" s="288">
        <f>BD221</f>
        <v>0</v>
      </c>
      <c r="BE204" s="1140">
        <f>BE221</f>
        <v>0</v>
      </c>
      <c r="BF204" s="288">
        <f>BF221</f>
        <v>0</v>
      </c>
      <c r="BG204" s="288">
        <f>BG221</f>
        <v>0</v>
      </c>
      <c r="BH204" s="875">
        <f>BH221</f>
        <v>0</v>
      </c>
      <c r="BI204" s="1051">
        <v>0</v>
      </c>
      <c r="BJ204" s="1133">
        <f>SUM(BF204,BG204,BH204,BI204)</f>
        <v>0</v>
      </c>
      <c r="BK204" s="1051">
        <v>0</v>
      </c>
      <c r="BL204" s="1051">
        <v>0</v>
      </c>
      <c r="BM204" s="1051">
        <v>0</v>
      </c>
      <c r="BN204" s="1051">
        <v>0</v>
      </c>
      <c r="BO204" s="1133">
        <f>SUM(BK204,BL204,BM204,BN204)</f>
        <v>0</v>
      </c>
      <c r="BP204" s="1132">
        <v>0</v>
      </c>
      <c r="BQ204" s="1132">
        <v>0</v>
      </c>
      <c r="BR204" s="1160">
        <v>0</v>
      </c>
      <c r="BS204" s="32"/>
    </row>
    <row r="205" spans="1:71" s="673" customFormat="1" ht="15" hidden="1" outlineLevel="1">
      <c r="A205" s="114" t="s">
        <v>159</v>
      </c>
      <c r="B205" s="480"/>
      <c r="C205" s="1140">
        <f t="shared" si="571" ref="C205:AK205">C224</f>
        <v>-5</v>
      </c>
      <c r="D205" s="1140">
        <f t="shared" si="571"/>
        <v>-13</v>
      </c>
      <c r="E205" s="1140">
        <f t="shared" si="571"/>
        <v>-3</v>
      </c>
      <c r="F205" s="1140">
        <f t="shared" si="571"/>
        <v>161</v>
      </c>
      <c r="G205" s="1140">
        <f t="shared" si="571"/>
        <v>-4</v>
      </c>
      <c r="H205" s="288">
        <f t="shared" si="571"/>
        <v>0</v>
      </c>
      <c r="I205" s="288">
        <f t="shared" si="571"/>
        <v>0</v>
      </c>
      <c r="J205" s="288">
        <f t="shared" si="571"/>
        <v>0</v>
      </c>
      <c r="K205" s="288">
        <f t="shared" si="571"/>
        <v>0</v>
      </c>
      <c r="L205" s="1140">
        <f t="shared" si="571"/>
        <v>0</v>
      </c>
      <c r="M205" s="288">
        <f t="shared" si="571"/>
        <v>-162</v>
      </c>
      <c r="N205" s="288">
        <f t="shared" si="571"/>
        <v>0</v>
      </c>
      <c r="O205" s="288">
        <f t="shared" si="571"/>
        <v>5</v>
      </c>
      <c r="P205" s="288">
        <f t="shared" si="571"/>
        <v>-4</v>
      </c>
      <c r="Q205" s="1140">
        <f t="shared" si="571"/>
        <v>-161</v>
      </c>
      <c r="R205" s="288">
        <f t="shared" si="571"/>
        <v>0</v>
      </c>
      <c r="S205" s="288">
        <f t="shared" si="571"/>
        <v>2</v>
      </c>
      <c r="T205" s="288">
        <f t="shared" si="571"/>
        <v>0</v>
      </c>
      <c r="U205" s="288">
        <f t="shared" si="571"/>
        <v>0</v>
      </c>
      <c r="V205" s="1140">
        <f t="shared" si="571"/>
        <v>2</v>
      </c>
      <c r="W205" s="288">
        <f t="shared" si="571"/>
        <v>0</v>
      </c>
      <c r="X205" s="288">
        <f t="shared" si="571"/>
        <v>0</v>
      </c>
      <c r="Y205" s="288">
        <f t="shared" si="571"/>
        <v>0</v>
      </c>
      <c r="Z205" s="288">
        <f t="shared" si="571"/>
        <v>0</v>
      </c>
      <c r="AA205" s="1140">
        <f t="shared" si="571"/>
        <v>0</v>
      </c>
      <c r="AB205" s="288">
        <f t="shared" si="571"/>
        <v>0</v>
      </c>
      <c r="AC205" s="288">
        <f t="shared" si="571"/>
        <v>0</v>
      </c>
      <c r="AD205" s="288">
        <f t="shared" si="571"/>
        <v>0</v>
      </c>
      <c r="AE205" s="288">
        <f t="shared" si="571"/>
        <v>0</v>
      </c>
      <c r="AF205" s="1140">
        <f t="shared" si="571"/>
        <v>0</v>
      </c>
      <c r="AG205" s="288">
        <f t="shared" si="571"/>
        <v>0</v>
      </c>
      <c r="AH205" s="288">
        <f t="shared" si="571"/>
        <v>0</v>
      </c>
      <c r="AI205" s="288">
        <f t="shared" si="571"/>
        <v>0</v>
      </c>
      <c r="AJ205" s="288">
        <f t="shared" si="571"/>
        <v>0</v>
      </c>
      <c r="AK205" s="1140">
        <f t="shared" si="571"/>
        <v>0</v>
      </c>
      <c r="AL205" s="288">
        <f t="shared" si="572" ref="AL205:AM208">AL224</f>
        <v>0</v>
      </c>
      <c r="AM205" s="288">
        <f t="shared" si="572"/>
        <v>0</v>
      </c>
      <c r="AN205" s="288">
        <f t="shared" si="573" ref="AN205:AP208">AN224</f>
        <v>-30</v>
      </c>
      <c r="AO205" s="288">
        <f t="shared" si="573"/>
        <v>53</v>
      </c>
      <c r="AP205" s="1140">
        <f t="shared" si="573"/>
        <v>23</v>
      </c>
      <c r="AQ205" s="288">
        <f t="shared" si="574" ref="AQ205:AR208">AQ224</f>
        <v>0</v>
      </c>
      <c r="AR205" s="288">
        <f t="shared" si="574"/>
        <v>4</v>
      </c>
      <c r="AS205" s="288">
        <f t="shared" si="575" ref="AS205:AU208">AS224</f>
        <v>0</v>
      </c>
      <c r="AT205" s="288">
        <f t="shared" si="575"/>
        <v>0</v>
      </c>
      <c r="AU205" s="1140">
        <f t="shared" si="575"/>
        <v>4</v>
      </c>
      <c r="AV205" s="288">
        <f t="shared" si="576" ref="AV205:AW208">AV224</f>
        <v>0</v>
      </c>
      <c r="AW205" s="288">
        <f t="shared" si="576"/>
        <v>0</v>
      </c>
      <c r="AX205" s="288">
        <f t="shared" si="577" ref="AX205:AZ208">AX224</f>
        <v>0</v>
      </c>
      <c r="AY205" s="288">
        <f t="shared" si="577"/>
        <v>0</v>
      </c>
      <c r="AZ205" s="1140">
        <f t="shared" si="577"/>
        <v>0</v>
      </c>
      <c r="BA205" s="288">
        <f t="shared" si="578" ref="BA205:BB208">BA224</f>
        <v>0</v>
      </c>
      <c r="BB205" s="288">
        <f t="shared" si="578"/>
        <v>0</v>
      </c>
      <c r="BC205" s="288">
        <f t="shared" si="579" ref="BC205:BE208">BC224</f>
        <v>-4</v>
      </c>
      <c r="BD205" s="288">
        <f t="shared" si="579"/>
        <v>0</v>
      </c>
      <c r="BE205" s="1140">
        <f t="shared" si="579"/>
        <v>-4</v>
      </c>
      <c r="BF205" s="288">
        <f t="shared" si="580" ref="BF205:BG208">BF224</f>
        <v>0</v>
      </c>
      <c r="BG205" s="288">
        <f t="shared" si="580"/>
        <v>0</v>
      </c>
      <c r="BH205" s="875">
        <f>BH224</f>
        <v>0</v>
      </c>
      <c r="BI205" s="1051">
        <v>0</v>
      </c>
      <c r="BJ205" s="1133">
        <f>SUM(BF205,BG205,BH205,BI205)</f>
        <v>0</v>
      </c>
      <c r="BK205" s="1051">
        <v>0</v>
      </c>
      <c r="BL205" s="1051">
        <v>0</v>
      </c>
      <c r="BM205" s="1051">
        <v>0</v>
      </c>
      <c r="BN205" s="1051">
        <v>0</v>
      </c>
      <c r="BO205" s="1133">
        <f>SUM(BK205,BL205,BM205,BN205)</f>
        <v>0</v>
      </c>
      <c r="BP205" s="1132">
        <v>0</v>
      </c>
      <c r="BQ205" s="1132">
        <v>0</v>
      </c>
      <c r="BR205" s="1160">
        <v>0</v>
      </c>
      <c r="BS205" s="32"/>
    </row>
    <row r="206" spans="1:71" s="673" customFormat="1" ht="15" hidden="1" outlineLevel="1">
      <c r="A206" s="114" t="s">
        <v>160</v>
      </c>
      <c r="B206" s="480"/>
      <c r="C206" s="1140">
        <f t="shared" si="581" ref="C206:AK206">C225</f>
        <v>0</v>
      </c>
      <c r="D206" s="1140">
        <f t="shared" si="581"/>
        <v>93</v>
      </c>
      <c r="E206" s="1140">
        <f t="shared" si="581"/>
        <v>105</v>
      </c>
      <c r="F206" s="1140">
        <f t="shared" si="581"/>
        <v>125</v>
      </c>
      <c r="G206" s="1140">
        <f t="shared" si="581"/>
        <v>128</v>
      </c>
      <c r="H206" s="288">
        <f t="shared" si="581"/>
        <v>28</v>
      </c>
      <c r="I206" s="288">
        <f t="shared" si="581"/>
        <v>27</v>
      </c>
      <c r="J206" s="288">
        <f t="shared" si="581"/>
        <v>29</v>
      </c>
      <c r="K206" s="288">
        <f t="shared" si="581"/>
        <v>32</v>
      </c>
      <c r="L206" s="1140">
        <f t="shared" si="581"/>
        <v>116</v>
      </c>
      <c r="M206" s="288">
        <f t="shared" si="581"/>
        <v>34</v>
      </c>
      <c r="N206" s="288">
        <f t="shared" si="581"/>
        <v>38</v>
      </c>
      <c r="O206" s="288">
        <f t="shared" si="581"/>
        <v>40</v>
      </c>
      <c r="P206" s="288">
        <f t="shared" si="581"/>
        <v>43</v>
      </c>
      <c r="Q206" s="1140">
        <f t="shared" si="581"/>
        <v>155</v>
      </c>
      <c r="R206" s="288">
        <f t="shared" si="581"/>
        <v>45</v>
      </c>
      <c r="S206" s="288">
        <f t="shared" si="581"/>
        <v>48</v>
      </c>
      <c r="T206" s="288">
        <f t="shared" si="581"/>
        <v>48</v>
      </c>
      <c r="U206" s="288">
        <f t="shared" si="581"/>
        <v>49</v>
      </c>
      <c r="V206" s="1140">
        <f t="shared" si="581"/>
        <v>190</v>
      </c>
      <c r="W206" s="288">
        <f t="shared" si="581"/>
        <v>51</v>
      </c>
      <c r="X206" s="288">
        <f t="shared" si="581"/>
        <v>50</v>
      </c>
      <c r="Y206" s="288">
        <f t="shared" si="581"/>
        <v>54</v>
      </c>
      <c r="Z206" s="288">
        <f t="shared" si="581"/>
        <v>55</v>
      </c>
      <c r="AA206" s="1140">
        <f t="shared" si="581"/>
        <v>210</v>
      </c>
      <c r="AB206" s="288">
        <f t="shared" si="581"/>
        <v>58</v>
      </c>
      <c r="AC206" s="288">
        <f t="shared" si="581"/>
        <v>64</v>
      </c>
      <c r="AD206" s="288">
        <f t="shared" si="581"/>
        <v>65</v>
      </c>
      <c r="AE206" s="288">
        <f t="shared" si="581"/>
        <v>68</v>
      </c>
      <c r="AF206" s="1140">
        <f t="shared" si="581"/>
        <v>255</v>
      </c>
      <c r="AG206" s="288">
        <f t="shared" si="581"/>
        <v>69</v>
      </c>
      <c r="AH206" s="288">
        <f t="shared" si="581"/>
        <v>70</v>
      </c>
      <c r="AI206" s="288">
        <f t="shared" si="581"/>
        <v>67</v>
      </c>
      <c r="AJ206" s="288">
        <f t="shared" si="581"/>
        <v>63</v>
      </c>
      <c r="AK206" s="1140">
        <f t="shared" si="581"/>
        <v>269</v>
      </c>
      <c r="AL206" s="288">
        <f t="shared" si="572"/>
        <v>59</v>
      </c>
      <c r="AM206" s="288">
        <f t="shared" si="572"/>
        <v>49</v>
      </c>
      <c r="AN206" s="288">
        <f t="shared" si="573"/>
        <v>46</v>
      </c>
      <c r="AO206" s="288">
        <f t="shared" si="573"/>
        <v>47</v>
      </c>
      <c r="AP206" s="1140">
        <f t="shared" si="573"/>
        <v>201</v>
      </c>
      <c r="AQ206" s="288">
        <f t="shared" si="574"/>
        <v>46</v>
      </c>
      <c r="AR206" s="288">
        <f t="shared" si="574"/>
        <v>44</v>
      </c>
      <c r="AS206" s="288">
        <f t="shared" si="575"/>
        <v>45</v>
      </c>
      <c r="AT206" s="288">
        <f t="shared" si="575"/>
        <v>46</v>
      </c>
      <c r="AU206" s="1140">
        <f t="shared" si="575"/>
        <v>181</v>
      </c>
      <c r="AV206" s="288">
        <f t="shared" si="576"/>
        <v>46</v>
      </c>
      <c r="AW206" s="288">
        <f t="shared" si="576"/>
        <v>54</v>
      </c>
      <c r="AX206" s="288">
        <f t="shared" si="577"/>
        <v>75</v>
      </c>
      <c r="AY206" s="288">
        <f t="shared" si="577"/>
        <v>93</v>
      </c>
      <c r="AZ206" s="1140">
        <f t="shared" si="577"/>
        <v>268</v>
      </c>
      <c r="BA206" s="288">
        <f t="shared" si="578"/>
        <v>104</v>
      </c>
      <c r="BB206" s="288">
        <f t="shared" si="578"/>
        <v>112</v>
      </c>
      <c r="BC206" s="288">
        <f t="shared" si="579"/>
        <v>105</v>
      </c>
      <c r="BD206" s="288">
        <f t="shared" si="579"/>
        <v>100</v>
      </c>
      <c r="BE206" s="1140">
        <f t="shared" si="579"/>
        <v>421</v>
      </c>
      <c r="BF206" s="288">
        <f t="shared" si="580"/>
        <v>99</v>
      </c>
      <c r="BG206" s="288">
        <f t="shared" si="580"/>
        <v>98</v>
      </c>
      <c r="BH206" s="875">
        <f>BH225</f>
        <v>99</v>
      </c>
      <c r="BI206" s="1051">
        <v>65</v>
      </c>
      <c r="BJ206" s="1133">
        <f>SUM(BF206,BG206,BH206,BI206)</f>
        <v>361</v>
      </c>
      <c r="BK206" s="1051">
        <v>65</v>
      </c>
      <c r="BL206" s="1051">
        <v>60</v>
      </c>
      <c r="BM206" s="1051">
        <v>60</v>
      </c>
      <c r="BN206" s="1051">
        <v>65</v>
      </c>
      <c r="BO206" s="1133">
        <f>SUM(BK206,BL206,BM206,BN206)</f>
        <v>250</v>
      </c>
      <c r="BP206" s="1132">
        <v>240</v>
      </c>
      <c r="BQ206" s="1132">
        <v>240</v>
      </c>
      <c r="BR206" s="1160">
        <v>240</v>
      </c>
      <c r="BS206" s="32"/>
    </row>
    <row r="207" spans="1:71" s="673" customFormat="1" ht="15" hidden="1" outlineLevel="1">
      <c r="A207" s="114" t="s">
        <v>161</v>
      </c>
      <c r="B207" s="480"/>
      <c r="C207" s="1140">
        <f t="shared" si="582" ref="C207:AK207">C226</f>
        <v>0</v>
      </c>
      <c r="D207" s="1140">
        <f t="shared" si="582"/>
        <v>-70</v>
      </c>
      <c r="E207" s="1140">
        <f t="shared" si="582"/>
        <v>-33</v>
      </c>
      <c r="F207" s="1140">
        <f t="shared" si="582"/>
        <v>-94</v>
      </c>
      <c r="G207" s="1140">
        <f t="shared" si="582"/>
        <v>-14</v>
      </c>
      <c r="H207" s="288">
        <f t="shared" si="582"/>
        <v>0</v>
      </c>
      <c r="I207" s="288">
        <f t="shared" si="582"/>
        <v>-10</v>
      </c>
      <c r="J207" s="288">
        <f t="shared" si="582"/>
        <v>-25</v>
      </c>
      <c r="K207" s="288">
        <f t="shared" si="582"/>
        <v>-9</v>
      </c>
      <c r="L207" s="1140">
        <f t="shared" si="582"/>
        <v>-44</v>
      </c>
      <c r="M207" s="288">
        <f t="shared" si="582"/>
        <v>-3</v>
      </c>
      <c r="N207" s="288">
        <f t="shared" si="582"/>
        <v>-2</v>
      </c>
      <c r="O207" s="288">
        <f t="shared" si="582"/>
        <v>-11</v>
      </c>
      <c r="P207" s="288">
        <f t="shared" si="582"/>
        <v>-18</v>
      </c>
      <c r="Q207" s="1140">
        <f t="shared" si="582"/>
        <v>-34</v>
      </c>
      <c r="R207" s="288">
        <f t="shared" si="582"/>
        <v>-13</v>
      </c>
      <c r="S207" s="288">
        <f t="shared" si="582"/>
        <v>11</v>
      </c>
      <c r="T207" s="288">
        <f t="shared" si="582"/>
        <v>11</v>
      </c>
      <c r="U207" s="288">
        <f t="shared" si="582"/>
        <v>6</v>
      </c>
      <c r="V207" s="1140">
        <f t="shared" si="582"/>
        <v>15</v>
      </c>
      <c r="W207" s="288">
        <f t="shared" si="582"/>
        <v>0</v>
      </c>
      <c r="X207" s="288">
        <f t="shared" si="582"/>
        <v>11</v>
      </c>
      <c r="Y207" s="288">
        <f t="shared" si="582"/>
        <v>1</v>
      </c>
      <c r="Z207" s="288">
        <f t="shared" si="582"/>
        <v>0</v>
      </c>
      <c r="AA207" s="1140">
        <f t="shared" si="582"/>
        <v>12</v>
      </c>
      <c r="AB207" s="288">
        <f t="shared" si="582"/>
        <v>-3</v>
      </c>
      <c r="AC207" s="288">
        <f t="shared" si="582"/>
        <v>-2</v>
      </c>
      <c r="AD207" s="288">
        <f t="shared" si="582"/>
        <v>-5</v>
      </c>
      <c r="AE207" s="288">
        <f t="shared" si="582"/>
        <v>-11</v>
      </c>
      <c r="AF207" s="1140">
        <f t="shared" si="582"/>
        <v>-21</v>
      </c>
      <c r="AG207" s="288">
        <f t="shared" si="582"/>
        <v>0</v>
      </c>
      <c r="AH207" s="288">
        <f t="shared" si="582"/>
        <v>-2</v>
      </c>
      <c r="AI207" s="288">
        <f t="shared" si="582"/>
        <v>-14</v>
      </c>
      <c r="AJ207" s="288">
        <f t="shared" si="582"/>
        <v>-14</v>
      </c>
      <c r="AK207" s="1140">
        <f t="shared" si="582"/>
        <v>-30</v>
      </c>
      <c r="AL207" s="288">
        <f t="shared" si="572"/>
        <v>-13</v>
      </c>
      <c r="AM207" s="288">
        <f t="shared" si="572"/>
        <v>-3</v>
      </c>
      <c r="AN207" s="288">
        <f t="shared" si="573"/>
        <v>-5</v>
      </c>
      <c r="AO207" s="288">
        <f t="shared" si="573"/>
        <v>1</v>
      </c>
      <c r="AP207" s="1140">
        <f t="shared" si="573"/>
        <v>-20</v>
      </c>
      <c r="AQ207" s="288">
        <f t="shared" si="574"/>
        <v>2</v>
      </c>
      <c r="AR207" s="288">
        <f t="shared" si="574"/>
        <v>6</v>
      </c>
      <c r="AS207" s="288">
        <f t="shared" si="575"/>
        <v>1</v>
      </c>
      <c r="AT207" s="288">
        <f t="shared" si="575"/>
        <v>1</v>
      </c>
      <c r="AU207" s="1140">
        <f t="shared" si="575"/>
        <v>10</v>
      </c>
      <c r="AV207" s="288">
        <f t="shared" si="576"/>
        <v>-5</v>
      </c>
      <c r="AW207" s="288">
        <f t="shared" si="576"/>
        <v>-15</v>
      </c>
      <c r="AX207" s="288">
        <f t="shared" si="577"/>
        <v>-5</v>
      </c>
      <c r="AY207" s="288">
        <f t="shared" si="577"/>
        <v>-6</v>
      </c>
      <c r="AZ207" s="1140">
        <f t="shared" si="577"/>
        <v>-31</v>
      </c>
      <c r="BA207" s="288">
        <f t="shared" si="578"/>
        <v>-4</v>
      </c>
      <c r="BB207" s="288">
        <f t="shared" si="578"/>
        <v>0</v>
      </c>
      <c r="BC207" s="288">
        <f t="shared" si="579"/>
        <v>16</v>
      </c>
      <c r="BD207" s="288">
        <f t="shared" si="579"/>
        <v>15</v>
      </c>
      <c r="BE207" s="1140">
        <f t="shared" si="579"/>
        <v>27</v>
      </c>
      <c r="BF207" s="288">
        <f t="shared" si="580"/>
        <v>10</v>
      </c>
      <c r="BG207" s="288">
        <f t="shared" si="580"/>
        <v>4</v>
      </c>
      <c r="BH207" s="875">
        <f>BH226</f>
        <v>-9</v>
      </c>
      <c r="BI207" s="1051">
        <v>2</v>
      </c>
      <c r="BJ207" s="1133">
        <f>SUM(BF207,BG207,BH207,BI207)</f>
        <v>7</v>
      </c>
      <c r="BK207" s="1051">
        <v>5</v>
      </c>
      <c r="BL207" s="1051">
        <v>2</v>
      </c>
      <c r="BM207" s="1051">
        <v>2</v>
      </c>
      <c r="BN207" s="1051">
        <v>2</v>
      </c>
      <c r="BO207" s="1133">
        <f>SUM(BK207,BL207,BM207,BN207)</f>
        <v>11</v>
      </c>
      <c r="BP207" s="1132">
        <v>8</v>
      </c>
      <c r="BQ207" s="1132">
        <v>8</v>
      </c>
      <c r="BR207" s="1160">
        <v>8</v>
      </c>
      <c r="BS207" s="32"/>
    </row>
    <row r="208" spans="1:71" s="673" customFormat="1" ht="15" hidden="1" outlineLevel="1">
      <c r="A208" s="114" t="s">
        <v>162</v>
      </c>
      <c r="B208" s="480"/>
      <c r="C208" s="1140">
        <f t="shared" si="583" ref="C208:AK208">C227</f>
        <v>226</v>
      </c>
      <c r="D208" s="1140">
        <f t="shared" si="583"/>
        <v>194</v>
      </c>
      <c r="E208" s="1140">
        <f t="shared" si="583"/>
        <v>175</v>
      </c>
      <c r="F208" s="1140">
        <f t="shared" si="583"/>
        <v>89</v>
      </c>
      <c r="G208" s="1140">
        <f t="shared" si="583"/>
        <v>97</v>
      </c>
      <c r="H208" s="288">
        <f t="shared" si="583"/>
        <v>21</v>
      </c>
      <c r="I208" s="288">
        <f t="shared" si="583"/>
        <v>26</v>
      </c>
      <c r="J208" s="288">
        <f t="shared" si="583"/>
        <v>28</v>
      </c>
      <c r="K208" s="288">
        <f t="shared" si="583"/>
        <v>47</v>
      </c>
      <c r="L208" s="1140">
        <f t="shared" si="583"/>
        <v>122</v>
      </c>
      <c r="M208" s="288">
        <f t="shared" si="583"/>
        <v>50</v>
      </c>
      <c r="N208" s="288">
        <f t="shared" si="583"/>
        <v>92</v>
      </c>
      <c r="O208" s="288">
        <f t="shared" si="583"/>
        <v>43</v>
      </c>
      <c r="P208" s="288">
        <f t="shared" si="583"/>
        <v>58</v>
      </c>
      <c r="Q208" s="1140">
        <f t="shared" si="583"/>
        <v>243</v>
      </c>
      <c r="R208" s="288">
        <f t="shared" si="583"/>
        <v>46</v>
      </c>
      <c r="S208" s="288">
        <f t="shared" si="583"/>
        <v>80</v>
      </c>
      <c r="T208" s="288">
        <f t="shared" si="583"/>
        <v>46</v>
      </c>
      <c r="U208" s="288">
        <f t="shared" si="583"/>
        <v>52</v>
      </c>
      <c r="V208" s="1140">
        <f t="shared" si="583"/>
        <v>224</v>
      </c>
      <c r="W208" s="288">
        <f t="shared" si="583"/>
        <v>59</v>
      </c>
      <c r="X208" s="288">
        <f t="shared" si="583"/>
        <v>47</v>
      </c>
      <c r="Y208" s="288">
        <f t="shared" si="583"/>
        <v>48</v>
      </c>
      <c r="Z208" s="288">
        <f t="shared" si="583"/>
        <v>52</v>
      </c>
      <c r="AA208" s="1140">
        <f t="shared" si="583"/>
        <v>206</v>
      </c>
      <c r="AB208" s="288">
        <f t="shared" si="583"/>
        <v>49</v>
      </c>
      <c r="AC208" s="288">
        <f t="shared" si="583"/>
        <v>43</v>
      </c>
      <c r="AD208" s="288">
        <f t="shared" si="583"/>
        <v>54</v>
      </c>
      <c r="AE208" s="288">
        <f t="shared" si="583"/>
        <v>53</v>
      </c>
      <c r="AF208" s="1140">
        <f t="shared" si="583"/>
        <v>199</v>
      </c>
      <c r="AG208" s="288">
        <f t="shared" si="583"/>
        <v>50</v>
      </c>
      <c r="AH208" s="288">
        <f t="shared" si="583"/>
        <v>51</v>
      </c>
      <c r="AI208" s="288">
        <f t="shared" si="583"/>
        <v>52</v>
      </c>
      <c r="AJ208" s="288">
        <f t="shared" si="583"/>
        <v>48</v>
      </c>
      <c r="AK208" s="1140">
        <f t="shared" si="583"/>
        <v>201</v>
      </c>
      <c r="AL208" s="288">
        <f t="shared" si="572"/>
        <v>24</v>
      </c>
      <c r="AM208" s="288">
        <f t="shared" si="572"/>
        <v>19</v>
      </c>
      <c r="AN208" s="288">
        <f t="shared" si="573"/>
        <v>19</v>
      </c>
      <c r="AO208" s="288">
        <f t="shared" si="573"/>
        <v>18</v>
      </c>
      <c r="AP208" s="1140">
        <f t="shared" si="573"/>
        <v>80</v>
      </c>
      <c r="AQ208" s="288">
        <f t="shared" si="574"/>
        <v>23</v>
      </c>
      <c r="AR208" s="288">
        <f t="shared" si="574"/>
        <v>20</v>
      </c>
      <c r="AS208" s="288">
        <f t="shared" si="575"/>
        <v>27</v>
      </c>
      <c r="AT208" s="288">
        <f t="shared" si="575"/>
        <v>43</v>
      </c>
      <c r="AU208" s="1140">
        <f t="shared" si="575"/>
        <v>113</v>
      </c>
      <c r="AV208" s="288">
        <f t="shared" si="576"/>
        <v>30</v>
      </c>
      <c r="AW208" s="288">
        <f t="shared" si="576"/>
        <v>32</v>
      </c>
      <c r="AX208" s="288">
        <f t="shared" si="577"/>
        <v>31</v>
      </c>
      <c r="AY208" s="288">
        <f t="shared" si="577"/>
        <v>24</v>
      </c>
      <c r="AZ208" s="1140">
        <f t="shared" si="577"/>
        <v>117</v>
      </c>
      <c r="BA208" s="288">
        <f t="shared" si="578"/>
        <v>32</v>
      </c>
      <c r="BB208" s="288">
        <f t="shared" si="578"/>
        <v>25</v>
      </c>
      <c r="BC208" s="288">
        <f t="shared" si="579"/>
        <v>43</v>
      </c>
      <c r="BD208" s="288">
        <f t="shared" si="579"/>
        <v>46</v>
      </c>
      <c r="BE208" s="1140">
        <f t="shared" si="579"/>
        <v>146</v>
      </c>
      <c r="BF208" s="288">
        <f t="shared" si="580"/>
        <v>39</v>
      </c>
      <c r="BG208" s="288">
        <f t="shared" si="580"/>
        <v>27</v>
      </c>
      <c r="BH208" s="875">
        <f>BH227</f>
        <v>26</v>
      </c>
      <c r="BI208" s="1051">
        <v>65</v>
      </c>
      <c r="BJ208" s="1133">
        <f>SUM(BF208,BG208,BH208,BI208)</f>
        <v>157</v>
      </c>
      <c r="BK208" s="1051">
        <v>50</v>
      </c>
      <c r="BL208" s="1051">
        <v>45</v>
      </c>
      <c r="BM208" s="1051">
        <v>45</v>
      </c>
      <c r="BN208" s="1051">
        <v>65</v>
      </c>
      <c r="BO208" s="1133">
        <f>SUM(BK208,BL208,BM208,BN208)</f>
        <v>205</v>
      </c>
      <c r="BP208" s="1132">
        <v>180</v>
      </c>
      <c r="BQ208" s="1132">
        <v>180</v>
      </c>
      <c r="BR208" s="1160">
        <v>180</v>
      </c>
      <c r="BS208" s="32"/>
    </row>
    <row r="209" spans="1:71" s="674" customFormat="1" ht="15" hidden="1" outlineLevel="1">
      <c r="A209" s="100" t="s">
        <v>163</v>
      </c>
      <c r="B209" s="483"/>
      <c r="C209" s="1138">
        <f t="shared" si="584" ref="C209:AK209">SUM(C204:C208)</f>
        <v>665</v>
      </c>
      <c r="D209" s="1138">
        <f t="shared" si="584"/>
        <v>655</v>
      </c>
      <c r="E209" s="1138">
        <f t="shared" si="584"/>
        <v>674</v>
      </c>
      <c r="F209" s="1138">
        <f t="shared" si="584"/>
        <v>599</v>
      </c>
      <c r="G209" s="1138">
        <f t="shared" si="584"/>
        <v>321</v>
      </c>
      <c r="H209" s="96">
        <f t="shared" si="584"/>
        <v>77</v>
      </c>
      <c r="I209" s="96">
        <f t="shared" si="584"/>
        <v>70</v>
      </c>
      <c r="J209" s="96">
        <f t="shared" si="584"/>
        <v>59</v>
      </c>
      <c r="K209" s="96">
        <f t="shared" si="584"/>
        <v>96</v>
      </c>
      <c r="L209" s="1138">
        <f t="shared" si="584"/>
        <v>302</v>
      </c>
      <c r="M209" s="96">
        <f t="shared" si="584"/>
        <v>-56</v>
      </c>
      <c r="N209" s="96">
        <f t="shared" si="584"/>
        <v>155</v>
      </c>
      <c r="O209" s="96">
        <f t="shared" si="584"/>
        <v>105</v>
      </c>
      <c r="P209" s="96">
        <f t="shared" si="584"/>
        <v>103</v>
      </c>
      <c r="Q209" s="1138">
        <f t="shared" si="584"/>
        <v>307</v>
      </c>
      <c r="R209" s="96">
        <f t="shared" si="584"/>
        <v>84</v>
      </c>
      <c r="S209" s="96">
        <f t="shared" si="584"/>
        <v>147</v>
      </c>
      <c r="T209" s="96">
        <f t="shared" si="584"/>
        <v>111</v>
      </c>
      <c r="U209" s="96">
        <f t="shared" si="584"/>
        <v>113</v>
      </c>
      <c r="V209" s="1138">
        <f t="shared" si="584"/>
        <v>455</v>
      </c>
      <c r="W209" s="96">
        <f t="shared" si="584"/>
        <v>116</v>
      </c>
      <c r="X209" s="96">
        <f t="shared" si="584"/>
        <v>113</v>
      </c>
      <c r="Y209" s="96">
        <f t="shared" si="584"/>
        <v>109</v>
      </c>
      <c r="Z209" s="96">
        <f t="shared" si="584"/>
        <v>112</v>
      </c>
      <c r="AA209" s="1138">
        <f t="shared" si="584"/>
        <v>450</v>
      </c>
      <c r="AB209" s="96">
        <f t="shared" si="584"/>
        <v>110</v>
      </c>
      <c r="AC209" s="96">
        <f t="shared" si="584"/>
        <v>111</v>
      </c>
      <c r="AD209" s="96">
        <f t="shared" si="584"/>
        <v>120</v>
      </c>
      <c r="AE209" s="96">
        <f t="shared" si="584"/>
        <v>116</v>
      </c>
      <c r="AF209" s="1138">
        <f t="shared" si="584"/>
        <v>457</v>
      </c>
      <c r="AG209" s="96">
        <f t="shared" si="584"/>
        <v>125</v>
      </c>
      <c r="AH209" s="96">
        <f t="shared" si="584"/>
        <v>124</v>
      </c>
      <c r="AI209" s="96">
        <f t="shared" si="584"/>
        <v>111</v>
      </c>
      <c r="AJ209" s="96">
        <f t="shared" si="584"/>
        <v>102</v>
      </c>
      <c r="AK209" s="1138">
        <f t="shared" si="584"/>
        <v>462</v>
      </c>
      <c r="AL209" s="96">
        <f t="shared" si="585" ref="AL209:AQ209">SUM(AL204:AL208)</f>
        <v>70</v>
      </c>
      <c r="AM209" s="96">
        <f t="shared" si="585"/>
        <v>65</v>
      </c>
      <c r="AN209" s="96">
        <f t="shared" si="585"/>
        <v>30</v>
      </c>
      <c r="AO209" s="96">
        <f t="shared" si="585"/>
        <v>119</v>
      </c>
      <c r="AP209" s="1138">
        <f t="shared" si="585"/>
        <v>284</v>
      </c>
      <c r="AQ209" s="96">
        <f t="shared" si="585"/>
        <v>71</v>
      </c>
      <c r="AR209" s="96">
        <f t="shared" si="586" ref="AR209:AW209">SUM(AR204:AR208)</f>
        <v>74</v>
      </c>
      <c r="AS209" s="96">
        <f t="shared" si="586"/>
        <v>73</v>
      </c>
      <c r="AT209" s="96">
        <f t="shared" si="586"/>
        <v>90</v>
      </c>
      <c r="AU209" s="1138">
        <f t="shared" si="586"/>
        <v>308</v>
      </c>
      <c r="AV209" s="96">
        <f t="shared" si="586"/>
        <v>71</v>
      </c>
      <c r="AW209" s="96">
        <f t="shared" si="586"/>
        <v>71</v>
      </c>
      <c r="AX209" s="96">
        <f t="shared" si="587" ref="AX209:BJ209">SUM(AX204:AX208)</f>
        <v>101</v>
      </c>
      <c r="AY209" s="96">
        <f t="shared" si="587"/>
        <v>111</v>
      </c>
      <c r="AZ209" s="1138">
        <f t="shared" si="587"/>
        <v>354</v>
      </c>
      <c r="BA209" s="96">
        <f t="shared" si="588" ref="BA209:BI209">SUM(BA204:BA208)</f>
        <v>132</v>
      </c>
      <c r="BB209" s="96">
        <f t="shared" si="588"/>
        <v>137</v>
      </c>
      <c r="BC209" s="96">
        <f t="shared" si="588"/>
        <v>160</v>
      </c>
      <c r="BD209" s="96">
        <f t="shared" si="588"/>
        <v>161</v>
      </c>
      <c r="BE209" s="1138">
        <f t="shared" si="588"/>
        <v>590</v>
      </c>
      <c r="BF209" s="96">
        <f>SUM(BF204:BF208)</f>
        <v>148</v>
      </c>
      <c r="BG209" s="96">
        <f>SUM(BG204:BG208)</f>
        <v>129</v>
      </c>
      <c r="BH209" s="874">
        <f>SUM(BH204:BH208)</f>
        <v>116</v>
      </c>
      <c r="BI209" s="596">
        <f t="shared" si="588"/>
        <v>132</v>
      </c>
      <c r="BJ209" s="1139">
        <f t="shared" si="587"/>
        <v>525</v>
      </c>
      <c r="BK209" s="596">
        <f t="shared" si="589" ref="BK209:BR209">SUM(BK204:BK208)</f>
        <v>120</v>
      </c>
      <c r="BL209" s="596">
        <f t="shared" si="589"/>
        <v>107</v>
      </c>
      <c r="BM209" s="596">
        <f t="shared" si="589"/>
        <v>107</v>
      </c>
      <c r="BN209" s="596">
        <f t="shared" si="589"/>
        <v>132</v>
      </c>
      <c r="BO209" s="1139">
        <f t="shared" si="589"/>
        <v>466</v>
      </c>
      <c r="BP209" s="1139">
        <f t="shared" si="589"/>
        <v>428</v>
      </c>
      <c r="BQ209" s="1139">
        <f t="shared" si="589"/>
        <v>428</v>
      </c>
      <c r="BR209" s="1139">
        <f t="shared" si="589"/>
        <v>428</v>
      </c>
      <c r="BS209" s="37"/>
    </row>
    <row r="210" spans="1:71" s="673" customFormat="1" ht="15" hidden="1" outlineLevel="1">
      <c r="A210" s="420"/>
      <c r="B210" s="480"/>
      <c r="C210" s="1131"/>
      <c r="D210" s="1131"/>
      <c r="E210" s="1131"/>
      <c r="F210" s="1131"/>
      <c r="G210" s="1131"/>
      <c r="H210" s="419"/>
      <c r="I210" s="419"/>
      <c r="J210" s="419"/>
      <c r="K210" s="419"/>
      <c r="L210" s="1131"/>
      <c r="M210" s="419"/>
      <c r="N210" s="419"/>
      <c r="O210" s="419"/>
      <c r="P210" s="419"/>
      <c r="Q210" s="1131"/>
      <c r="R210" s="419"/>
      <c r="S210" s="419"/>
      <c r="T210" s="419"/>
      <c r="U210" s="419"/>
      <c r="V210" s="1131"/>
      <c r="W210" s="419"/>
      <c r="X210" s="419"/>
      <c r="Y210" s="419"/>
      <c r="Z210" s="419"/>
      <c r="AA210" s="1131"/>
      <c r="AB210" s="419"/>
      <c r="AC210" s="419"/>
      <c r="AD210" s="419"/>
      <c r="AE210" s="419"/>
      <c r="AF210" s="1131"/>
      <c r="AG210" s="419"/>
      <c r="AH210" s="419"/>
      <c r="AI210" s="419"/>
      <c r="AJ210" s="419"/>
      <c r="AK210" s="1131"/>
      <c r="AL210" s="419"/>
      <c r="AM210" s="419"/>
      <c r="AN210" s="419"/>
      <c r="AO210" s="419"/>
      <c r="AP210" s="1131"/>
      <c r="AQ210" s="419"/>
      <c r="AR210" s="419"/>
      <c r="AS210" s="419"/>
      <c r="AT210" s="419"/>
      <c r="AU210" s="1131"/>
      <c r="AV210" s="419"/>
      <c r="AW210" s="419"/>
      <c r="AX210" s="419"/>
      <c r="AY210" s="419"/>
      <c r="AZ210" s="1131"/>
      <c r="BA210" s="419"/>
      <c r="BB210" s="419"/>
      <c r="BC210" s="419"/>
      <c r="BD210" s="419"/>
      <c r="BE210" s="1131"/>
      <c r="BF210" s="419"/>
      <c r="BG210" s="419"/>
      <c r="BH210" s="464"/>
      <c r="BI210" s="171"/>
      <c r="BJ210" s="1133"/>
      <c r="BK210" s="171"/>
      <c r="BL210" s="171"/>
      <c r="BM210" s="171"/>
      <c r="BN210" s="171"/>
      <c r="BO210" s="1133"/>
      <c r="BP210" s="1131"/>
      <c r="BQ210" s="1131"/>
      <c r="BR210" s="1133"/>
      <c r="BS210" s="32"/>
    </row>
    <row r="211" spans="1:71" s="673" customFormat="1" ht="15" hidden="1" outlineLevel="1">
      <c r="A211" s="114" t="s">
        <v>164</v>
      </c>
      <c r="B211" s="480"/>
      <c r="C211" s="1140">
        <f t="shared" si="590" ref="C211:AK211">C231</f>
        <v>435</v>
      </c>
      <c r="D211" s="1140">
        <f t="shared" si="590"/>
        <v>444</v>
      </c>
      <c r="E211" s="1140">
        <f t="shared" si="590"/>
        <v>510</v>
      </c>
      <c r="F211" s="1140">
        <f t="shared" si="590"/>
        <v>541</v>
      </c>
      <c r="G211" s="1140">
        <f t="shared" si="590"/>
        <v>531</v>
      </c>
      <c r="H211" s="288">
        <f t="shared" si="590"/>
        <v>168</v>
      </c>
      <c r="I211" s="288">
        <f t="shared" si="590"/>
        <v>166</v>
      </c>
      <c r="J211" s="288">
        <f t="shared" si="590"/>
        <v>157</v>
      </c>
      <c r="K211" s="288">
        <f t="shared" si="590"/>
        <v>157</v>
      </c>
      <c r="L211" s="1140">
        <f t="shared" si="590"/>
        <v>648</v>
      </c>
      <c r="M211" s="288">
        <f t="shared" si="590"/>
        <v>184</v>
      </c>
      <c r="N211" s="288">
        <f t="shared" si="590"/>
        <v>151</v>
      </c>
      <c r="O211" s="288">
        <f t="shared" si="590"/>
        <v>208</v>
      </c>
      <c r="P211" s="288">
        <f t="shared" si="590"/>
        <v>189</v>
      </c>
      <c r="Q211" s="1140">
        <f t="shared" si="590"/>
        <v>732</v>
      </c>
      <c r="R211" s="288">
        <f t="shared" si="590"/>
        <v>228</v>
      </c>
      <c r="S211" s="288">
        <f t="shared" si="590"/>
        <v>223</v>
      </c>
      <c r="T211" s="288">
        <f t="shared" si="590"/>
        <v>189</v>
      </c>
      <c r="U211" s="288">
        <f t="shared" si="590"/>
        <v>160</v>
      </c>
      <c r="V211" s="1140">
        <f t="shared" si="590"/>
        <v>800</v>
      </c>
      <c r="W211" s="288">
        <f t="shared" si="590"/>
        <v>196</v>
      </c>
      <c r="X211" s="288">
        <f t="shared" si="590"/>
        <v>224</v>
      </c>
      <c r="Y211" s="288">
        <f t="shared" si="590"/>
        <v>215</v>
      </c>
      <c r="Z211" s="288">
        <f t="shared" si="590"/>
        <v>257</v>
      </c>
      <c r="AA211" s="1140">
        <f t="shared" si="590"/>
        <v>892</v>
      </c>
      <c r="AB211" s="288">
        <f t="shared" si="590"/>
        <v>182</v>
      </c>
      <c r="AC211" s="288">
        <f t="shared" si="590"/>
        <v>260</v>
      </c>
      <c r="AD211" s="288">
        <f t="shared" si="590"/>
        <v>222</v>
      </c>
      <c r="AE211" s="288">
        <f t="shared" si="590"/>
        <v>334</v>
      </c>
      <c r="AF211" s="1140">
        <f t="shared" si="590"/>
        <v>998</v>
      </c>
      <c r="AG211" s="288">
        <f t="shared" si="590"/>
        <v>311</v>
      </c>
      <c r="AH211" s="288">
        <f t="shared" si="590"/>
        <v>339</v>
      </c>
      <c r="AI211" s="288">
        <f t="shared" si="590"/>
        <v>250</v>
      </c>
      <c r="AJ211" s="288">
        <f t="shared" si="590"/>
        <v>251</v>
      </c>
      <c r="AK211" s="1140">
        <f t="shared" si="590"/>
        <v>1151</v>
      </c>
      <c r="AL211" s="288">
        <f t="shared" si="591" ref="AL211:AL216">AL231</f>
        <v>0</v>
      </c>
      <c r="AM211" s="288">
        <f t="shared" si="592" ref="AM211:AM216">AM231</f>
        <v>0</v>
      </c>
      <c r="AN211" s="288">
        <f t="shared" si="593" ref="AN211:AN216">AN231</f>
        <v>0</v>
      </c>
      <c r="AO211" s="288">
        <f t="shared" si="594" ref="AO211:AP216">AO231</f>
        <v>0</v>
      </c>
      <c r="AP211" s="1140">
        <f t="shared" si="594"/>
        <v>0</v>
      </c>
      <c r="AQ211" s="288">
        <f t="shared" si="595" ref="AQ211:AQ216">AQ231</f>
        <v>0</v>
      </c>
      <c r="AR211" s="288">
        <f t="shared" si="596" ref="AR211:AR216">AR231</f>
        <v>0</v>
      </c>
      <c r="AS211" s="288">
        <f t="shared" si="597" ref="AS211:AS216">AS231</f>
        <v>0</v>
      </c>
      <c r="AT211" s="288">
        <f t="shared" si="598" ref="AT211:AU216">AT231</f>
        <v>0</v>
      </c>
      <c r="AU211" s="1140">
        <f t="shared" si="598"/>
        <v>0</v>
      </c>
      <c r="AV211" s="288">
        <f t="shared" si="599" ref="AV211:AV216">AV231</f>
        <v>0</v>
      </c>
      <c r="AW211" s="288">
        <f t="shared" si="600" ref="AW211:AW216">AW231</f>
        <v>0</v>
      </c>
      <c r="AX211" s="288">
        <f t="shared" si="601" ref="AX211:AX216">AX231</f>
        <v>0</v>
      </c>
      <c r="AY211" s="288">
        <f t="shared" si="602" ref="AY211:AZ216">AY231</f>
        <v>0</v>
      </c>
      <c r="AZ211" s="1140">
        <f t="shared" si="602"/>
        <v>0</v>
      </c>
      <c r="BA211" s="288">
        <f t="shared" si="603" ref="BA211:BA216">BA231</f>
        <v>0</v>
      </c>
      <c r="BB211" s="288">
        <f t="shared" si="604" ref="BB211:BB216">BB231</f>
        <v>0</v>
      </c>
      <c r="BC211" s="288">
        <f t="shared" si="605" ref="BC211:BC216">BC231</f>
        <v>0</v>
      </c>
      <c r="BD211" s="288">
        <f t="shared" si="606" ref="BD211:BE216">BD231</f>
        <v>0</v>
      </c>
      <c r="BE211" s="1140">
        <f t="shared" si="606"/>
        <v>0</v>
      </c>
      <c r="BF211" s="288">
        <f t="shared" si="607" ref="BF211:BF216">BF231</f>
        <v>0</v>
      </c>
      <c r="BG211" s="288">
        <f t="shared" si="608" ref="BG211:BG216">BG231</f>
        <v>0</v>
      </c>
      <c r="BH211" s="875">
        <f t="shared" si="609" ref="BH211:BH216">BH231</f>
        <v>0</v>
      </c>
      <c r="BI211" s="171"/>
      <c r="BJ211" s="1133">
        <f t="shared" si="610" ref="BJ211:BJ216">SUM(BF211,BG211,BH211,BI211)</f>
        <v>0</v>
      </c>
      <c r="BK211" s="171"/>
      <c r="BL211" s="171"/>
      <c r="BM211" s="171"/>
      <c r="BN211" s="171"/>
      <c r="BO211" s="1133">
        <f t="shared" si="611" ref="BO211:BO216">SUM(BK211,BL211,BM211,BN211)</f>
        <v>0</v>
      </c>
      <c r="BP211" s="1131"/>
      <c r="BQ211" s="1131"/>
      <c r="BR211" s="1133"/>
      <c r="BS211" s="32"/>
    </row>
    <row r="212" spans="1:71" s="673" customFormat="1" ht="15" hidden="1" outlineLevel="1">
      <c r="A212" s="114" t="s">
        <v>165</v>
      </c>
      <c r="B212" s="480"/>
      <c r="C212" s="1140">
        <f t="shared" si="612" ref="C212:AK212">C232</f>
        <v>361</v>
      </c>
      <c r="D212" s="1140">
        <f t="shared" si="612"/>
        <v>368</v>
      </c>
      <c r="E212" s="1140">
        <f t="shared" si="612"/>
        <v>369</v>
      </c>
      <c r="F212" s="1140">
        <f t="shared" si="612"/>
        <v>356</v>
      </c>
      <c r="G212" s="1140">
        <f t="shared" si="612"/>
        <v>160</v>
      </c>
      <c r="H212" s="288">
        <f t="shared" si="612"/>
        <v>43</v>
      </c>
      <c r="I212" s="288">
        <f t="shared" si="612"/>
        <v>39</v>
      </c>
      <c r="J212" s="288">
        <f t="shared" si="612"/>
        <v>37</v>
      </c>
      <c r="K212" s="288">
        <f t="shared" si="612"/>
        <v>45</v>
      </c>
      <c r="L212" s="1140">
        <f t="shared" si="612"/>
        <v>164</v>
      </c>
      <c r="M212" s="288">
        <f t="shared" si="612"/>
        <v>32</v>
      </c>
      <c r="N212" s="288">
        <f t="shared" si="612"/>
        <v>33</v>
      </c>
      <c r="O212" s="288">
        <f t="shared" si="612"/>
        <v>31</v>
      </c>
      <c r="P212" s="288">
        <f t="shared" si="612"/>
        <v>35</v>
      </c>
      <c r="Q212" s="1140">
        <f t="shared" si="612"/>
        <v>131</v>
      </c>
      <c r="R212" s="288">
        <f t="shared" si="612"/>
        <v>9</v>
      </c>
      <c r="S212" s="288">
        <f t="shared" si="612"/>
        <v>9</v>
      </c>
      <c r="T212" s="288">
        <f t="shared" si="612"/>
        <v>8</v>
      </c>
      <c r="U212" s="288">
        <f t="shared" si="612"/>
        <v>7</v>
      </c>
      <c r="V212" s="1140">
        <f t="shared" si="612"/>
        <v>33</v>
      </c>
      <c r="W212" s="288">
        <f t="shared" si="612"/>
        <v>9</v>
      </c>
      <c r="X212" s="288">
        <f t="shared" si="612"/>
        <v>6</v>
      </c>
      <c r="Y212" s="288">
        <f t="shared" si="612"/>
        <v>6</v>
      </c>
      <c r="Z212" s="288">
        <f t="shared" si="612"/>
        <v>5</v>
      </c>
      <c r="AA212" s="1140">
        <f t="shared" si="612"/>
        <v>26</v>
      </c>
      <c r="AB212" s="288">
        <f t="shared" si="612"/>
        <v>11</v>
      </c>
      <c r="AC212" s="288">
        <f t="shared" si="612"/>
        <v>11</v>
      </c>
      <c r="AD212" s="288">
        <f t="shared" si="612"/>
        <v>10</v>
      </c>
      <c r="AE212" s="288">
        <f t="shared" si="612"/>
        <v>8</v>
      </c>
      <c r="AF212" s="1140">
        <f t="shared" si="612"/>
        <v>40</v>
      </c>
      <c r="AG212" s="288">
        <f t="shared" si="612"/>
        <v>9</v>
      </c>
      <c r="AH212" s="288">
        <f t="shared" si="612"/>
        <v>8</v>
      </c>
      <c r="AI212" s="288">
        <f t="shared" si="612"/>
        <v>9</v>
      </c>
      <c r="AJ212" s="288">
        <f t="shared" si="612"/>
        <v>10</v>
      </c>
      <c r="AK212" s="1140">
        <f t="shared" si="612"/>
        <v>36</v>
      </c>
      <c r="AL212" s="288">
        <f t="shared" si="591"/>
        <v>0</v>
      </c>
      <c r="AM212" s="288">
        <f t="shared" si="592"/>
        <v>0</v>
      </c>
      <c r="AN212" s="288">
        <f t="shared" si="593"/>
        <v>0</v>
      </c>
      <c r="AO212" s="288">
        <f t="shared" si="594"/>
        <v>0</v>
      </c>
      <c r="AP212" s="1140">
        <f t="shared" si="594"/>
        <v>0</v>
      </c>
      <c r="AQ212" s="288">
        <f t="shared" si="595"/>
        <v>0</v>
      </c>
      <c r="AR212" s="288">
        <f t="shared" si="596"/>
        <v>0</v>
      </c>
      <c r="AS212" s="288">
        <f t="shared" si="597"/>
        <v>0</v>
      </c>
      <c r="AT212" s="288">
        <f t="shared" si="598"/>
        <v>0</v>
      </c>
      <c r="AU212" s="1140">
        <f t="shared" si="598"/>
        <v>0</v>
      </c>
      <c r="AV212" s="288">
        <f t="shared" si="599"/>
        <v>0</v>
      </c>
      <c r="AW212" s="288">
        <f t="shared" si="600"/>
        <v>0</v>
      </c>
      <c r="AX212" s="288">
        <f t="shared" si="601"/>
        <v>0</v>
      </c>
      <c r="AY212" s="288">
        <f t="shared" si="602"/>
        <v>0</v>
      </c>
      <c r="AZ212" s="1140">
        <f t="shared" si="602"/>
        <v>0</v>
      </c>
      <c r="BA212" s="288">
        <f t="shared" si="603"/>
        <v>0</v>
      </c>
      <c r="BB212" s="288">
        <f t="shared" si="604"/>
        <v>0</v>
      </c>
      <c r="BC212" s="288">
        <f t="shared" si="605"/>
        <v>0</v>
      </c>
      <c r="BD212" s="288">
        <f t="shared" si="606"/>
        <v>0</v>
      </c>
      <c r="BE212" s="1140">
        <f t="shared" si="606"/>
        <v>0</v>
      </c>
      <c r="BF212" s="288">
        <f t="shared" si="607"/>
        <v>0</v>
      </c>
      <c r="BG212" s="288">
        <f t="shared" si="608"/>
        <v>0</v>
      </c>
      <c r="BH212" s="875">
        <f t="shared" si="609"/>
        <v>0</v>
      </c>
      <c r="BI212" s="1051">
        <v>0</v>
      </c>
      <c r="BJ212" s="1133">
        <f t="shared" si="610"/>
        <v>0</v>
      </c>
      <c r="BK212" s="1051">
        <v>0</v>
      </c>
      <c r="BL212" s="1051">
        <v>0</v>
      </c>
      <c r="BM212" s="1051">
        <v>0</v>
      </c>
      <c r="BN212" s="1051">
        <v>0</v>
      </c>
      <c r="BO212" s="1133">
        <f t="shared" si="611"/>
        <v>0</v>
      </c>
      <c r="BP212" s="1132">
        <v>0</v>
      </c>
      <c r="BQ212" s="1132">
        <v>0</v>
      </c>
      <c r="BR212" s="1160">
        <v>0</v>
      </c>
      <c r="BS212" s="32"/>
    </row>
    <row r="213" spans="1:71" s="673" customFormat="1" ht="15" hidden="1" outlineLevel="1">
      <c r="A213" s="114" t="s">
        <v>166</v>
      </c>
      <c r="B213" s="480"/>
      <c r="C213" s="1140">
        <f t="shared" si="613" ref="C213:AK213">C233</f>
        <v>187</v>
      </c>
      <c r="D213" s="1140">
        <f t="shared" si="613"/>
        <v>231</v>
      </c>
      <c r="E213" s="1140">
        <f t="shared" si="613"/>
        <v>202</v>
      </c>
      <c r="F213" s="1140">
        <f t="shared" si="613"/>
        <v>282</v>
      </c>
      <c r="G213" s="1140">
        <f t="shared" si="613"/>
        <v>167</v>
      </c>
      <c r="H213" s="288">
        <f t="shared" si="613"/>
        <v>35</v>
      </c>
      <c r="I213" s="288">
        <f t="shared" si="613"/>
        <v>41</v>
      </c>
      <c r="J213" s="288">
        <f t="shared" si="613"/>
        <v>46</v>
      </c>
      <c r="K213" s="288">
        <f t="shared" si="613"/>
        <v>71</v>
      </c>
      <c r="L213" s="1140">
        <f t="shared" si="613"/>
        <v>193</v>
      </c>
      <c r="M213" s="288">
        <f t="shared" si="613"/>
        <v>41</v>
      </c>
      <c r="N213" s="288">
        <f t="shared" si="613"/>
        <v>66</v>
      </c>
      <c r="O213" s="288">
        <f t="shared" si="613"/>
        <v>49</v>
      </c>
      <c r="P213" s="288">
        <f t="shared" si="613"/>
        <v>23</v>
      </c>
      <c r="Q213" s="1140">
        <f t="shared" si="613"/>
        <v>179</v>
      </c>
      <c r="R213" s="288">
        <f t="shared" si="613"/>
        <v>35</v>
      </c>
      <c r="S213" s="288">
        <f t="shared" si="613"/>
        <v>42</v>
      </c>
      <c r="T213" s="288">
        <f t="shared" si="613"/>
        <v>54</v>
      </c>
      <c r="U213" s="288">
        <f t="shared" si="613"/>
        <v>55</v>
      </c>
      <c r="V213" s="1140">
        <f t="shared" si="613"/>
        <v>186</v>
      </c>
      <c r="W213" s="288">
        <f t="shared" si="613"/>
        <v>53</v>
      </c>
      <c r="X213" s="288">
        <f t="shared" si="613"/>
        <v>48</v>
      </c>
      <c r="Y213" s="288">
        <f t="shared" si="613"/>
        <v>55</v>
      </c>
      <c r="Z213" s="288">
        <f t="shared" si="613"/>
        <v>17</v>
      </c>
      <c r="AA213" s="1140">
        <f t="shared" si="613"/>
        <v>173</v>
      </c>
      <c r="AB213" s="288">
        <f t="shared" si="613"/>
        <v>82</v>
      </c>
      <c r="AC213" s="288">
        <f t="shared" si="613"/>
        <v>50</v>
      </c>
      <c r="AD213" s="288">
        <f t="shared" si="613"/>
        <v>71</v>
      </c>
      <c r="AE213" s="288">
        <f t="shared" si="613"/>
        <v>58</v>
      </c>
      <c r="AF213" s="1140">
        <f t="shared" si="613"/>
        <v>261</v>
      </c>
      <c r="AG213" s="288">
        <f t="shared" si="613"/>
        <v>28</v>
      </c>
      <c r="AH213" s="288">
        <f t="shared" si="613"/>
        <v>33</v>
      </c>
      <c r="AI213" s="288">
        <f t="shared" si="613"/>
        <v>120</v>
      </c>
      <c r="AJ213" s="288">
        <f t="shared" si="613"/>
        <v>72</v>
      </c>
      <c r="AK213" s="1140">
        <f t="shared" si="613"/>
        <v>253</v>
      </c>
      <c r="AL213" s="288">
        <f t="shared" si="591"/>
        <v>0</v>
      </c>
      <c r="AM213" s="288">
        <f t="shared" si="592"/>
        <v>0</v>
      </c>
      <c r="AN213" s="288">
        <f t="shared" si="593"/>
        <v>0</v>
      </c>
      <c r="AO213" s="288">
        <f t="shared" si="594"/>
        <v>0</v>
      </c>
      <c r="AP213" s="1140">
        <f t="shared" si="594"/>
        <v>0</v>
      </c>
      <c r="AQ213" s="288">
        <f t="shared" si="595"/>
        <v>0</v>
      </c>
      <c r="AR213" s="288">
        <f t="shared" si="596"/>
        <v>0</v>
      </c>
      <c r="AS213" s="288">
        <f t="shared" si="597"/>
        <v>0</v>
      </c>
      <c r="AT213" s="288">
        <f t="shared" si="598"/>
        <v>0</v>
      </c>
      <c r="AU213" s="1140">
        <f t="shared" si="598"/>
        <v>0</v>
      </c>
      <c r="AV213" s="288">
        <f t="shared" si="599"/>
        <v>0</v>
      </c>
      <c r="AW213" s="288">
        <f t="shared" si="600"/>
        <v>0</v>
      </c>
      <c r="AX213" s="288">
        <f t="shared" si="601"/>
        <v>0</v>
      </c>
      <c r="AY213" s="288">
        <f t="shared" si="602"/>
        <v>0</v>
      </c>
      <c r="AZ213" s="1140">
        <f t="shared" si="602"/>
        <v>0</v>
      </c>
      <c r="BA213" s="288">
        <f t="shared" si="603"/>
        <v>0</v>
      </c>
      <c r="BB213" s="288">
        <f t="shared" si="604"/>
        <v>0</v>
      </c>
      <c r="BC213" s="288">
        <f t="shared" si="605"/>
        <v>0</v>
      </c>
      <c r="BD213" s="288">
        <f t="shared" si="606"/>
        <v>0</v>
      </c>
      <c r="BE213" s="1140">
        <f t="shared" si="606"/>
        <v>0</v>
      </c>
      <c r="BF213" s="288">
        <f t="shared" si="607"/>
        <v>0</v>
      </c>
      <c r="BG213" s="288">
        <f t="shared" si="608"/>
        <v>0</v>
      </c>
      <c r="BH213" s="875">
        <f t="shared" si="609"/>
        <v>0</v>
      </c>
      <c r="BI213" s="171"/>
      <c r="BJ213" s="1133">
        <f t="shared" si="610"/>
        <v>0</v>
      </c>
      <c r="BK213" s="171"/>
      <c r="BL213" s="171"/>
      <c r="BM213" s="171"/>
      <c r="BN213" s="171"/>
      <c r="BO213" s="1133">
        <f t="shared" si="611"/>
        <v>0</v>
      </c>
      <c r="BP213" s="1131"/>
      <c r="BQ213" s="1131"/>
      <c r="BR213" s="1133"/>
      <c r="BS213" s="32"/>
    </row>
    <row r="214" spans="1:71" s="673" customFormat="1" ht="15" hidden="1" outlineLevel="1">
      <c r="A214" s="114" t="s">
        <v>167</v>
      </c>
      <c r="B214" s="480"/>
      <c r="C214" s="1140">
        <f t="shared" si="614" ref="C214:AK214">C234</f>
        <v>67</v>
      </c>
      <c r="D214" s="1140">
        <f t="shared" si="614"/>
        <v>78</v>
      </c>
      <c r="E214" s="1140">
        <f t="shared" si="614"/>
        <v>85</v>
      </c>
      <c r="F214" s="1140">
        <f t="shared" si="614"/>
        <v>75</v>
      </c>
      <c r="G214" s="1140">
        <f t="shared" si="614"/>
        <v>71</v>
      </c>
      <c r="H214" s="288">
        <f t="shared" si="614"/>
        <v>18</v>
      </c>
      <c r="I214" s="288">
        <f t="shared" si="614"/>
        <v>17</v>
      </c>
      <c r="J214" s="288">
        <f t="shared" si="614"/>
        <v>18</v>
      </c>
      <c r="K214" s="288">
        <f t="shared" si="614"/>
        <v>20</v>
      </c>
      <c r="L214" s="1140">
        <f t="shared" si="614"/>
        <v>73</v>
      </c>
      <c r="M214" s="288">
        <f t="shared" si="614"/>
        <v>20</v>
      </c>
      <c r="N214" s="288">
        <f t="shared" si="614"/>
        <v>20</v>
      </c>
      <c r="O214" s="288">
        <f t="shared" si="614"/>
        <v>18</v>
      </c>
      <c r="P214" s="288">
        <f t="shared" si="614"/>
        <v>17</v>
      </c>
      <c r="Q214" s="1140">
        <f t="shared" si="614"/>
        <v>75</v>
      </c>
      <c r="R214" s="288">
        <f t="shared" si="614"/>
        <v>18</v>
      </c>
      <c r="S214" s="288">
        <f t="shared" si="614"/>
        <v>19</v>
      </c>
      <c r="T214" s="288">
        <f t="shared" si="614"/>
        <v>19</v>
      </c>
      <c r="U214" s="288">
        <f t="shared" si="614"/>
        <v>21</v>
      </c>
      <c r="V214" s="1140">
        <f t="shared" si="614"/>
        <v>77</v>
      </c>
      <c r="W214" s="288">
        <f t="shared" si="614"/>
        <v>21</v>
      </c>
      <c r="X214" s="288">
        <f t="shared" si="614"/>
        <v>23</v>
      </c>
      <c r="Y214" s="288">
        <f t="shared" si="614"/>
        <v>21</v>
      </c>
      <c r="Z214" s="288">
        <f t="shared" si="614"/>
        <v>20</v>
      </c>
      <c r="AA214" s="1140">
        <f t="shared" si="614"/>
        <v>85</v>
      </c>
      <c r="AB214" s="288">
        <f t="shared" si="614"/>
        <v>15</v>
      </c>
      <c r="AC214" s="288">
        <f t="shared" si="614"/>
        <v>16</v>
      </c>
      <c r="AD214" s="288">
        <f t="shared" si="614"/>
        <v>15</v>
      </c>
      <c r="AE214" s="288">
        <f t="shared" si="614"/>
        <v>16</v>
      </c>
      <c r="AF214" s="1140">
        <f t="shared" si="614"/>
        <v>62</v>
      </c>
      <c r="AG214" s="288">
        <f t="shared" si="614"/>
        <v>16</v>
      </c>
      <c r="AH214" s="288">
        <f t="shared" si="614"/>
        <v>17</v>
      </c>
      <c r="AI214" s="288">
        <f t="shared" si="614"/>
        <v>17</v>
      </c>
      <c r="AJ214" s="288">
        <f t="shared" si="614"/>
        <v>18</v>
      </c>
      <c r="AK214" s="1140">
        <f t="shared" si="614"/>
        <v>68</v>
      </c>
      <c r="AL214" s="288">
        <f t="shared" si="591"/>
        <v>17</v>
      </c>
      <c r="AM214" s="288">
        <f t="shared" si="592"/>
        <v>23</v>
      </c>
      <c r="AN214" s="288">
        <f t="shared" si="593"/>
        <v>24</v>
      </c>
      <c r="AO214" s="288">
        <f t="shared" si="594"/>
        <v>24</v>
      </c>
      <c r="AP214" s="1140">
        <f t="shared" si="594"/>
        <v>88</v>
      </c>
      <c r="AQ214" s="288">
        <f t="shared" si="595"/>
        <v>24</v>
      </c>
      <c r="AR214" s="288">
        <f t="shared" si="596"/>
        <v>23</v>
      </c>
      <c r="AS214" s="288">
        <f t="shared" si="597"/>
        <v>24</v>
      </c>
      <c r="AT214" s="288">
        <f t="shared" si="598"/>
        <v>23</v>
      </c>
      <c r="AU214" s="1140">
        <f t="shared" si="598"/>
        <v>94</v>
      </c>
      <c r="AV214" s="288">
        <f t="shared" si="599"/>
        <v>23</v>
      </c>
      <c r="AW214" s="288">
        <f t="shared" si="600"/>
        <v>23</v>
      </c>
      <c r="AX214" s="288">
        <f t="shared" si="601"/>
        <v>19</v>
      </c>
      <c r="AY214" s="288">
        <f t="shared" si="602"/>
        <v>20</v>
      </c>
      <c r="AZ214" s="1140">
        <f t="shared" si="602"/>
        <v>85</v>
      </c>
      <c r="BA214" s="288">
        <f t="shared" si="603"/>
        <v>19</v>
      </c>
      <c r="BB214" s="288">
        <f t="shared" si="604"/>
        <v>19</v>
      </c>
      <c r="BC214" s="288">
        <f t="shared" si="605"/>
        <v>19</v>
      </c>
      <c r="BD214" s="288">
        <f t="shared" si="606"/>
        <v>19</v>
      </c>
      <c r="BE214" s="1140">
        <f t="shared" si="606"/>
        <v>76</v>
      </c>
      <c r="BF214" s="288">
        <f t="shared" si="607"/>
        <v>19</v>
      </c>
      <c r="BG214" s="288">
        <f t="shared" si="608"/>
        <v>19</v>
      </c>
      <c r="BH214" s="875">
        <f t="shared" si="609"/>
        <v>19</v>
      </c>
      <c r="BI214" s="171"/>
      <c r="BJ214" s="1133">
        <f t="shared" si="610"/>
        <v>57</v>
      </c>
      <c r="BK214" s="171"/>
      <c r="BL214" s="171"/>
      <c r="BM214" s="171"/>
      <c r="BN214" s="171"/>
      <c r="BO214" s="1133">
        <f t="shared" si="611"/>
        <v>0</v>
      </c>
      <c r="BP214" s="1131"/>
      <c r="BQ214" s="1131"/>
      <c r="BR214" s="1133"/>
      <c r="BS214" s="32"/>
    </row>
    <row r="215" spans="1:71" s="673" customFormat="1" ht="15" hidden="1" outlineLevel="1">
      <c r="A215" s="114" t="s">
        <v>168</v>
      </c>
      <c r="B215" s="480"/>
      <c r="C215" s="1140">
        <f t="shared" si="615" ref="C215:AK215">C235</f>
        <v>0</v>
      </c>
      <c r="D215" s="1140">
        <f t="shared" si="615"/>
        <v>55</v>
      </c>
      <c r="E215" s="1140">
        <f t="shared" si="615"/>
        <v>71</v>
      </c>
      <c r="F215" s="1140">
        <f t="shared" si="615"/>
        <v>80</v>
      </c>
      <c r="G215" s="1140">
        <f t="shared" si="615"/>
        <v>89</v>
      </c>
      <c r="H215" s="288">
        <f t="shared" si="615"/>
        <v>20</v>
      </c>
      <c r="I215" s="288">
        <f t="shared" si="615"/>
        <v>21</v>
      </c>
      <c r="J215" s="288">
        <f t="shared" si="615"/>
        <v>19</v>
      </c>
      <c r="K215" s="288">
        <f t="shared" si="615"/>
        <v>22</v>
      </c>
      <c r="L215" s="1140">
        <f t="shared" si="615"/>
        <v>82</v>
      </c>
      <c r="M215" s="288">
        <f t="shared" si="615"/>
        <v>24</v>
      </c>
      <c r="N215" s="288">
        <f t="shared" si="615"/>
        <v>28</v>
      </c>
      <c r="O215" s="288">
        <f t="shared" si="615"/>
        <v>28</v>
      </c>
      <c r="P215" s="288">
        <f t="shared" si="615"/>
        <v>32</v>
      </c>
      <c r="Q215" s="1140">
        <f t="shared" si="615"/>
        <v>112</v>
      </c>
      <c r="R215" s="288">
        <f t="shared" si="615"/>
        <v>35</v>
      </c>
      <c r="S215" s="288">
        <f t="shared" si="615"/>
        <v>36</v>
      </c>
      <c r="T215" s="288">
        <f t="shared" si="615"/>
        <v>38</v>
      </c>
      <c r="U215" s="288">
        <f t="shared" si="615"/>
        <v>42</v>
      </c>
      <c r="V215" s="1140">
        <f t="shared" si="615"/>
        <v>151</v>
      </c>
      <c r="W215" s="288">
        <f t="shared" si="615"/>
        <v>41</v>
      </c>
      <c r="X215" s="288">
        <f t="shared" si="615"/>
        <v>51</v>
      </c>
      <c r="Y215" s="288">
        <f t="shared" si="615"/>
        <v>45</v>
      </c>
      <c r="Z215" s="288">
        <f t="shared" si="615"/>
        <v>44</v>
      </c>
      <c r="AA215" s="1140">
        <f t="shared" si="615"/>
        <v>181</v>
      </c>
      <c r="AB215" s="288">
        <f t="shared" si="615"/>
        <v>48</v>
      </c>
      <c r="AC215" s="288">
        <f t="shared" si="615"/>
        <v>54</v>
      </c>
      <c r="AD215" s="288">
        <f t="shared" si="615"/>
        <v>52</v>
      </c>
      <c r="AE215" s="288">
        <f t="shared" si="615"/>
        <v>57</v>
      </c>
      <c r="AF215" s="1140">
        <f t="shared" si="615"/>
        <v>211</v>
      </c>
      <c r="AG215" s="288">
        <f t="shared" si="615"/>
        <v>55</v>
      </c>
      <c r="AH215" s="288">
        <f t="shared" si="615"/>
        <v>59</v>
      </c>
      <c r="AI215" s="288">
        <f t="shared" si="615"/>
        <v>54</v>
      </c>
      <c r="AJ215" s="288">
        <f t="shared" si="615"/>
        <v>52</v>
      </c>
      <c r="AK215" s="1140">
        <f t="shared" si="615"/>
        <v>220</v>
      </c>
      <c r="AL215" s="288">
        <f t="shared" si="591"/>
        <v>53</v>
      </c>
      <c r="AM215" s="288">
        <f t="shared" si="592"/>
        <v>42</v>
      </c>
      <c r="AN215" s="288">
        <f t="shared" si="593"/>
        <v>34</v>
      </c>
      <c r="AO215" s="288">
        <f t="shared" si="594"/>
        <v>38</v>
      </c>
      <c r="AP215" s="1140">
        <f t="shared" si="594"/>
        <v>167</v>
      </c>
      <c r="AQ215" s="288">
        <f t="shared" si="595"/>
        <v>39</v>
      </c>
      <c r="AR215" s="288">
        <f t="shared" si="596"/>
        <v>39</v>
      </c>
      <c r="AS215" s="288">
        <f t="shared" si="597"/>
        <v>37</v>
      </c>
      <c r="AT215" s="288">
        <f t="shared" si="598"/>
        <v>40</v>
      </c>
      <c r="AU215" s="1140">
        <f t="shared" si="598"/>
        <v>155</v>
      </c>
      <c r="AV215" s="288">
        <f t="shared" si="599"/>
        <v>39</v>
      </c>
      <c r="AW215" s="288">
        <f t="shared" si="600"/>
        <v>47</v>
      </c>
      <c r="AX215" s="288">
        <f t="shared" si="601"/>
        <v>62</v>
      </c>
      <c r="AY215" s="288">
        <f t="shared" si="602"/>
        <v>82</v>
      </c>
      <c r="AZ215" s="1140">
        <f t="shared" si="602"/>
        <v>230</v>
      </c>
      <c r="BA215" s="288">
        <f t="shared" si="603"/>
        <v>95</v>
      </c>
      <c r="BB215" s="288">
        <f t="shared" si="604"/>
        <v>103</v>
      </c>
      <c r="BC215" s="288">
        <f t="shared" si="605"/>
        <v>105</v>
      </c>
      <c r="BD215" s="288">
        <f t="shared" si="606"/>
        <v>102</v>
      </c>
      <c r="BE215" s="1140">
        <f t="shared" si="606"/>
        <v>405</v>
      </c>
      <c r="BF215" s="288">
        <f t="shared" si="607"/>
        <v>92</v>
      </c>
      <c r="BG215" s="288">
        <f t="shared" si="608"/>
        <v>90</v>
      </c>
      <c r="BH215" s="875">
        <f t="shared" si="609"/>
        <v>85</v>
      </c>
      <c r="BI215" s="1051">
        <v>40</v>
      </c>
      <c r="BJ215" s="1133">
        <f t="shared" si="610"/>
        <v>307</v>
      </c>
      <c r="BK215" s="1051">
        <v>40</v>
      </c>
      <c r="BL215" s="1051">
        <v>40</v>
      </c>
      <c r="BM215" s="1051">
        <v>40</v>
      </c>
      <c r="BN215" s="1051">
        <v>40</v>
      </c>
      <c r="BO215" s="1133">
        <f t="shared" si="611"/>
        <v>160</v>
      </c>
      <c r="BP215" s="1132">
        <v>160</v>
      </c>
      <c r="BQ215" s="1132">
        <v>160</v>
      </c>
      <c r="BR215" s="1160">
        <v>160</v>
      </c>
      <c r="BS215" s="32"/>
    </row>
    <row r="216" spans="1:71" s="673" customFormat="1" ht="15" hidden="1" outlineLevel="1">
      <c r="A216" s="115" t="s">
        <v>169</v>
      </c>
      <c r="B216" s="481"/>
      <c r="C216" s="1141">
        <f t="shared" si="616" ref="C216:AK216">C236</f>
        <v>463</v>
      </c>
      <c r="D216" s="1141">
        <f t="shared" si="616"/>
        <v>378</v>
      </c>
      <c r="E216" s="1141">
        <f t="shared" si="616"/>
        <v>376</v>
      </c>
      <c r="F216" s="1141">
        <f t="shared" si="616"/>
        <v>326</v>
      </c>
      <c r="G216" s="1141">
        <f t="shared" si="616"/>
        <v>326</v>
      </c>
      <c r="H216" s="39">
        <f t="shared" si="616"/>
        <v>70</v>
      </c>
      <c r="I216" s="39">
        <f t="shared" si="616"/>
        <v>76</v>
      </c>
      <c r="J216" s="39">
        <f t="shared" si="616"/>
        <v>73</v>
      </c>
      <c r="K216" s="39">
        <f t="shared" si="616"/>
        <v>62</v>
      </c>
      <c r="L216" s="1141">
        <f t="shared" si="616"/>
        <v>281</v>
      </c>
      <c r="M216" s="39">
        <f t="shared" si="616"/>
        <v>77</v>
      </c>
      <c r="N216" s="39">
        <f t="shared" si="616"/>
        <v>80</v>
      </c>
      <c r="O216" s="39">
        <f t="shared" si="616"/>
        <v>93</v>
      </c>
      <c r="P216" s="39">
        <f t="shared" si="616"/>
        <v>86</v>
      </c>
      <c r="Q216" s="1141">
        <f t="shared" si="616"/>
        <v>336</v>
      </c>
      <c r="R216" s="39">
        <f t="shared" si="616"/>
        <v>79</v>
      </c>
      <c r="S216" s="39">
        <f t="shared" si="616"/>
        <v>81</v>
      </c>
      <c r="T216" s="39">
        <f t="shared" si="616"/>
        <v>98</v>
      </c>
      <c r="U216" s="39">
        <f t="shared" si="616"/>
        <v>95</v>
      </c>
      <c r="V216" s="1141">
        <f t="shared" si="616"/>
        <v>353</v>
      </c>
      <c r="W216" s="39">
        <f t="shared" si="616"/>
        <v>85</v>
      </c>
      <c r="X216" s="39">
        <f t="shared" si="616"/>
        <v>88</v>
      </c>
      <c r="Y216" s="39">
        <f t="shared" si="616"/>
        <v>112</v>
      </c>
      <c r="Z216" s="39">
        <f t="shared" si="616"/>
        <v>137</v>
      </c>
      <c r="AA216" s="1141">
        <f t="shared" si="616"/>
        <v>422</v>
      </c>
      <c r="AB216" s="39">
        <f t="shared" si="616"/>
        <v>85</v>
      </c>
      <c r="AC216" s="39">
        <f t="shared" si="616"/>
        <v>89</v>
      </c>
      <c r="AD216" s="39">
        <f t="shared" si="616"/>
        <v>98</v>
      </c>
      <c r="AE216" s="39">
        <f t="shared" si="616"/>
        <v>81</v>
      </c>
      <c r="AF216" s="1141">
        <f t="shared" si="616"/>
        <v>353</v>
      </c>
      <c r="AG216" s="39">
        <f t="shared" si="616"/>
        <v>101</v>
      </c>
      <c r="AH216" s="39">
        <f t="shared" si="616"/>
        <v>96</v>
      </c>
      <c r="AI216" s="39">
        <f t="shared" si="616"/>
        <v>102</v>
      </c>
      <c r="AJ216" s="39">
        <f t="shared" si="616"/>
        <v>106</v>
      </c>
      <c r="AK216" s="1141">
        <f t="shared" si="616"/>
        <v>405</v>
      </c>
      <c r="AL216" s="39">
        <f t="shared" si="591"/>
        <v>43</v>
      </c>
      <c r="AM216" s="39">
        <f t="shared" si="592"/>
        <v>60</v>
      </c>
      <c r="AN216" s="39">
        <f t="shared" si="593"/>
        <v>89</v>
      </c>
      <c r="AO216" s="39">
        <f t="shared" si="594"/>
        <v>87</v>
      </c>
      <c r="AP216" s="1141">
        <f t="shared" si="594"/>
        <v>279</v>
      </c>
      <c r="AQ216" s="39">
        <f t="shared" si="595"/>
        <v>64</v>
      </c>
      <c r="AR216" s="39">
        <f t="shared" si="596"/>
        <v>77</v>
      </c>
      <c r="AS216" s="39">
        <f t="shared" si="597"/>
        <v>55</v>
      </c>
      <c r="AT216" s="39">
        <f t="shared" si="598"/>
        <v>68</v>
      </c>
      <c r="AU216" s="1141">
        <f t="shared" si="598"/>
        <v>264</v>
      </c>
      <c r="AV216" s="39">
        <f t="shared" si="599"/>
        <v>58</v>
      </c>
      <c r="AW216" s="39">
        <f t="shared" si="600"/>
        <v>57</v>
      </c>
      <c r="AX216" s="39">
        <f t="shared" si="601"/>
        <v>72</v>
      </c>
      <c r="AY216" s="39">
        <f t="shared" si="602"/>
        <v>68</v>
      </c>
      <c r="AZ216" s="1141">
        <f t="shared" si="602"/>
        <v>255</v>
      </c>
      <c r="BA216" s="39">
        <f t="shared" si="603"/>
        <v>69</v>
      </c>
      <c r="BB216" s="39">
        <f t="shared" si="604"/>
        <v>73</v>
      </c>
      <c r="BC216" s="39">
        <f t="shared" si="605"/>
        <v>85</v>
      </c>
      <c r="BD216" s="39">
        <f t="shared" si="606"/>
        <v>78</v>
      </c>
      <c r="BE216" s="1141">
        <f t="shared" si="606"/>
        <v>305</v>
      </c>
      <c r="BF216" s="39">
        <f t="shared" si="607"/>
        <v>76</v>
      </c>
      <c r="BG216" s="39">
        <f t="shared" si="608"/>
        <v>77</v>
      </c>
      <c r="BH216" s="876">
        <f t="shared" si="609"/>
        <v>88</v>
      </c>
      <c r="BI216" s="1040">
        <v>40</v>
      </c>
      <c r="BJ216" s="1134">
        <f t="shared" si="610"/>
        <v>281</v>
      </c>
      <c r="BK216" s="1040">
        <v>40</v>
      </c>
      <c r="BL216" s="1040">
        <v>40</v>
      </c>
      <c r="BM216" s="1040">
        <v>100</v>
      </c>
      <c r="BN216" s="1040">
        <v>40</v>
      </c>
      <c r="BO216" s="1134">
        <f t="shared" si="611"/>
        <v>220</v>
      </c>
      <c r="BP216" s="1135">
        <v>360</v>
      </c>
      <c r="BQ216" s="1135">
        <v>360</v>
      </c>
      <c r="BR216" s="1135">
        <v>360</v>
      </c>
      <c r="BS216" s="32"/>
    </row>
    <row r="217" spans="1:71" s="674" customFormat="1" ht="15" hidden="1" outlineLevel="1">
      <c r="A217" s="101" t="s">
        <v>170</v>
      </c>
      <c r="B217" s="486"/>
      <c r="C217" s="1180">
        <f t="shared" si="617" ref="C217:AK217">SUM(C211:C216)</f>
        <v>1513</v>
      </c>
      <c r="D217" s="1180">
        <f t="shared" si="617"/>
        <v>1554</v>
      </c>
      <c r="E217" s="1180">
        <f t="shared" si="617"/>
        <v>1613</v>
      </c>
      <c r="F217" s="1180">
        <f t="shared" si="617"/>
        <v>1660</v>
      </c>
      <c r="G217" s="1180">
        <f t="shared" si="617"/>
        <v>1344</v>
      </c>
      <c r="H217" s="287">
        <f t="shared" si="617"/>
        <v>354</v>
      </c>
      <c r="I217" s="287">
        <f t="shared" si="617"/>
        <v>360</v>
      </c>
      <c r="J217" s="287">
        <f t="shared" si="617"/>
        <v>350</v>
      </c>
      <c r="K217" s="287">
        <f t="shared" si="617"/>
        <v>377</v>
      </c>
      <c r="L217" s="1180">
        <f t="shared" si="617"/>
        <v>1441</v>
      </c>
      <c r="M217" s="287">
        <f t="shared" si="617"/>
        <v>378</v>
      </c>
      <c r="N217" s="287">
        <f t="shared" si="617"/>
        <v>378</v>
      </c>
      <c r="O217" s="287">
        <f t="shared" si="617"/>
        <v>427</v>
      </c>
      <c r="P217" s="287">
        <f t="shared" si="617"/>
        <v>382</v>
      </c>
      <c r="Q217" s="1180">
        <f t="shared" si="617"/>
        <v>1565</v>
      </c>
      <c r="R217" s="287">
        <f t="shared" si="617"/>
        <v>404</v>
      </c>
      <c r="S217" s="287">
        <f t="shared" si="617"/>
        <v>410</v>
      </c>
      <c r="T217" s="287">
        <f t="shared" si="617"/>
        <v>406</v>
      </c>
      <c r="U217" s="287">
        <f t="shared" si="617"/>
        <v>380</v>
      </c>
      <c r="V217" s="1180">
        <f t="shared" si="617"/>
        <v>1600</v>
      </c>
      <c r="W217" s="287">
        <f t="shared" si="617"/>
        <v>405</v>
      </c>
      <c r="X217" s="287">
        <f t="shared" si="617"/>
        <v>440</v>
      </c>
      <c r="Y217" s="287">
        <f t="shared" si="617"/>
        <v>454</v>
      </c>
      <c r="Z217" s="287">
        <f t="shared" si="617"/>
        <v>480</v>
      </c>
      <c r="AA217" s="1180">
        <f t="shared" si="617"/>
        <v>1779</v>
      </c>
      <c r="AB217" s="287">
        <f t="shared" si="617"/>
        <v>423</v>
      </c>
      <c r="AC217" s="287">
        <f t="shared" si="617"/>
        <v>480</v>
      </c>
      <c r="AD217" s="287">
        <f t="shared" si="617"/>
        <v>468</v>
      </c>
      <c r="AE217" s="287">
        <f t="shared" si="617"/>
        <v>554</v>
      </c>
      <c r="AF217" s="1180">
        <f t="shared" si="617"/>
        <v>1925</v>
      </c>
      <c r="AG217" s="287">
        <f t="shared" si="617"/>
        <v>520</v>
      </c>
      <c r="AH217" s="287">
        <f t="shared" si="617"/>
        <v>552</v>
      </c>
      <c r="AI217" s="287">
        <f t="shared" si="617"/>
        <v>552</v>
      </c>
      <c r="AJ217" s="287">
        <f t="shared" si="617"/>
        <v>509</v>
      </c>
      <c r="AK217" s="1180">
        <f t="shared" si="617"/>
        <v>2133</v>
      </c>
      <c r="AL217" s="287">
        <f t="shared" si="618" ref="AL217:AQ217">SUM(AL211:AL216)</f>
        <v>113</v>
      </c>
      <c r="AM217" s="287">
        <f t="shared" si="618"/>
        <v>125</v>
      </c>
      <c r="AN217" s="287">
        <f t="shared" si="618"/>
        <v>147</v>
      </c>
      <c r="AO217" s="287">
        <f t="shared" si="618"/>
        <v>149</v>
      </c>
      <c r="AP217" s="1180">
        <f t="shared" si="618"/>
        <v>534</v>
      </c>
      <c r="AQ217" s="287">
        <f t="shared" si="618"/>
        <v>127</v>
      </c>
      <c r="AR217" s="287">
        <f t="shared" si="619" ref="AR217:AW217">SUM(AR211:AR216)</f>
        <v>139</v>
      </c>
      <c r="AS217" s="287">
        <f t="shared" si="619"/>
        <v>116</v>
      </c>
      <c r="AT217" s="287">
        <f t="shared" si="619"/>
        <v>131</v>
      </c>
      <c r="AU217" s="1180">
        <f t="shared" si="619"/>
        <v>513</v>
      </c>
      <c r="AV217" s="287">
        <f t="shared" si="619"/>
        <v>120</v>
      </c>
      <c r="AW217" s="287">
        <f t="shared" si="619"/>
        <v>127</v>
      </c>
      <c r="AX217" s="287">
        <f t="shared" si="620" ref="AX217:BJ217">SUM(AX211:AX216)</f>
        <v>153</v>
      </c>
      <c r="AY217" s="287">
        <f t="shared" si="620"/>
        <v>170</v>
      </c>
      <c r="AZ217" s="1180">
        <f t="shared" si="620"/>
        <v>570</v>
      </c>
      <c r="BA217" s="287">
        <f t="shared" si="621" ref="BA217:BI217">SUM(BA211:BA216)</f>
        <v>183</v>
      </c>
      <c r="BB217" s="287">
        <f t="shared" si="621"/>
        <v>195</v>
      </c>
      <c r="BC217" s="287">
        <f t="shared" si="621"/>
        <v>209</v>
      </c>
      <c r="BD217" s="287">
        <f t="shared" si="621"/>
        <v>199</v>
      </c>
      <c r="BE217" s="1180">
        <f t="shared" si="621"/>
        <v>786</v>
      </c>
      <c r="BF217" s="287">
        <f>SUM(BF211:BF216)</f>
        <v>187</v>
      </c>
      <c r="BG217" s="287">
        <f>SUM(BG211:BG216)</f>
        <v>186</v>
      </c>
      <c r="BH217" s="888">
        <f>SUM(BH211:BH216)</f>
        <v>192</v>
      </c>
      <c r="BI217" s="159">
        <f t="shared" si="621"/>
        <v>80</v>
      </c>
      <c r="BJ217" s="1148">
        <f t="shared" si="620"/>
        <v>645</v>
      </c>
      <c r="BK217" s="159">
        <f t="shared" si="622" ref="BK217:BR217">SUM(BK211:BK216)</f>
        <v>80</v>
      </c>
      <c r="BL217" s="159">
        <f t="shared" si="622"/>
        <v>80</v>
      </c>
      <c r="BM217" s="159">
        <f t="shared" si="622"/>
        <v>140</v>
      </c>
      <c r="BN217" s="159">
        <f t="shared" si="622"/>
        <v>80</v>
      </c>
      <c r="BO217" s="1148">
        <f t="shared" si="622"/>
        <v>380</v>
      </c>
      <c r="BP217" s="1147">
        <f t="shared" si="622"/>
        <v>520</v>
      </c>
      <c r="BQ217" s="1147">
        <f t="shared" si="622"/>
        <v>520</v>
      </c>
      <c r="BR217" s="1148">
        <f t="shared" si="622"/>
        <v>520</v>
      </c>
      <c r="BS217" s="37"/>
    </row>
    <row r="218" spans="1:71" s="667" customFormat="1" ht="15" collapsed="1">
      <c r="A218" s="499"/>
      <c r="B218" s="492"/>
      <c r="C218" s="1161"/>
      <c r="D218" s="1161"/>
      <c r="E218" s="1161"/>
      <c r="F218" s="1161"/>
      <c r="G218" s="1161"/>
      <c r="H218" s="971"/>
      <c r="I218" s="971"/>
      <c r="J218" s="971"/>
      <c r="K218" s="971"/>
      <c r="L218" s="1161"/>
      <c r="M218" s="971"/>
      <c r="N218" s="971"/>
      <c r="O218" s="971"/>
      <c r="P218" s="971"/>
      <c r="Q218" s="1161"/>
      <c r="R218" s="971"/>
      <c r="S218" s="971"/>
      <c r="T218" s="971"/>
      <c r="U218" s="971"/>
      <c r="V218" s="1161"/>
      <c r="W218" s="971"/>
      <c r="X218" s="971"/>
      <c r="Y218" s="971"/>
      <c r="Z218" s="971"/>
      <c r="AA218" s="1161"/>
      <c r="AB218" s="971"/>
      <c r="AC218" s="971"/>
      <c r="AD218" s="971"/>
      <c r="AE218" s="971"/>
      <c r="AF218" s="1161"/>
      <c r="AG218" s="971"/>
      <c r="AH218" s="971"/>
      <c r="AI218" s="971"/>
      <c r="AJ218" s="971"/>
      <c r="AK218" s="1161"/>
      <c r="AL218" s="971"/>
      <c r="AM218" s="971"/>
      <c r="AN218" s="971"/>
      <c r="AO218" s="971"/>
      <c r="AP218" s="1161"/>
      <c r="AQ218" s="971"/>
      <c r="AR218" s="971"/>
      <c r="AS218" s="971"/>
      <c r="AT218" s="971"/>
      <c r="AU218" s="1161"/>
      <c r="AV218" s="971"/>
      <c r="AW218" s="971"/>
      <c r="AX218" s="971"/>
      <c r="AY218" s="971"/>
      <c r="AZ218" s="1161"/>
      <c r="BA218" s="971"/>
      <c r="BB218" s="971"/>
      <c r="BC218" s="971"/>
      <c r="BD218" s="971"/>
      <c r="BE218" s="1161"/>
      <c r="BF218" s="971"/>
      <c r="BG218" s="971"/>
      <c r="BH218" s="972"/>
      <c r="BI218" s="973"/>
      <c r="BJ218" s="1162"/>
      <c r="BK218" s="973"/>
      <c r="BL218" s="973"/>
      <c r="BM218" s="973"/>
      <c r="BN218" s="973"/>
      <c r="BO218" s="1162"/>
      <c r="BP218" s="1161"/>
      <c r="BQ218" s="1161"/>
      <c r="BR218" s="1162"/>
      <c r="BS218" s="664"/>
    </row>
    <row r="219" spans="1:71" s="672" customFormat="1" ht="15">
      <c r="A219" s="951" t="s">
        <v>171</v>
      </c>
      <c r="B219" s="951"/>
      <c r="C219" s="967"/>
      <c r="D219" s="967"/>
      <c r="E219" s="967"/>
      <c r="F219" s="967"/>
      <c r="G219" s="967"/>
      <c r="H219" s="967"/>
      <c r="I219" s="967"/>
      <c r="J219" s="967"/>
      <c r="K219" s="967"/>
      <c r="L219" s="967"/>
      <c r="M219" s="967"/>
      <c r="N219" s="967"/>
      <c r="O219" s="967"/>
      <c r="P219" s="967"/>
      <c r="Q219" s="967"/>
      <c r="R219" s="967"/>
      <c r="S219" s="967"/>
      <c r="T219" s="967"/>
      <c r="U219" s="967"/>
      <c r="V219" s="967"/>
      <c r="W219" s="967"/>
      <c r="X219" s="967"/>
      <c r="Y219" s="967"/>
      <c r="Z219" s="967"/>
      <c r="AA219" s="967"/>
      <c r="AB219" s="967"/>
      <c r="AC219" s="967"/>
      <c r="AD219" s="967"/>
      <c r="AE219" s="967"/>
      <c r="AF219" s="967"/>
      <c r="AG219" s="967"/>
      <c r="AH219" s="967"/>
      <c r="AI219" s="967"/>
      <c r="AJ219" s="967"/>
      <c r="AK219" s="967"/>
      <c r="AL219" s="967"/>
      <c r="AM219" s="967"/>
      <c r="AN219" s="967"/>
      <c r="AO219" s="967"/>
      <c r="AP219" s="967"/>
      <c r="AQ219" s="967"/>
      <c r="AR219" s="967"/>
      <c r="AS219" s="967"/>
      <c r="AT219" s="967"/>
      <c r="AU219" s="967"/>
      <c r="AV219" s="967"/>
      <c r="AW219" s="967"/>
      <c r="AX219" s="967"/>
      <c r="AY219" s="967"/>
      <c r="AZ219" s="967"/>
      <c r="BA219" s="967"/>
      <c r="BB219" s="967"/>
      <c r="BC219" s="967"/>
      <c r="BD219" s="967"/>
      <c r="BE219" s="967"/>
      <c r="BF219" s="967"/>
      <c r="BG219" s="967"/>
      <c r="BH219" s="968"/>
      <c r="BI219" s="969"/>
      <c r="BJ219" s="969"/>
      <c r="BK219" s="969"/>
      <c r="BL219" s="969"/>
      <c r="BM219" s="969"/>
      <c r="BN219" s="969"/>
      <c r="BO219" s="969"/>
      <c r="BP219" s="967"/>
      <c r="BQ219" s="967"/>
      <c r="BR219" s="969"/>
      <c r="BS219" s="456"/>
    </row>
    <row r="220" spans="1:71" s="680" customFormat="1" ht="15" hidden="1" outlineLevel="1">
      <c r="A220" s="118" t="s">
        <v>172</v>
      </c>
      <c r="B220" s="420"/>
      <c r="C220" s="1132">
        <v>2412</v>
      </c>
      <c r="D220" s="1132">
        <v>2550</v>
      </c>
      <c r="E220" s="1132">
        <v>2759</v>
      </c>
      <c r="F220" s="1132">
        <v>2847</v>
      </c>
      <c r="G220" s="1132">
        <v>3204</v>
      </c>
      <c r="H220" s="1037">
        <v>754</v>
      </c>
      <c r="I220" s="1037">
        <v>931</v>
      </c>
      <c r="J220" s="1037">
        <v>1132</v>
      </c>
      <c r="K220" s="419">
        <f t="shared" si="623" ref="K220:K227">L220-SUM(H220,I220,J220)</f>
        <v>1061</v>
      </c>
      <c r="L220" s="1132">
        <v>3878</v>
      </c>
      <c r="M220" s="1037">
        <v>946</v>
      </c>
      <c r="N220" s="1037">
        <v>985</v>
      </c>
      <c r="O220" s="1037">
        <v>1173</v>
      </c>
      <c r="P220" s="419">
        <f t="shared" si="624" ref="P220:P227">Q220-SUM(M220,N220,O220)</f>
        <v>1120</v>
      </c>
      <c r="Q220" s="1132">
        <v>4224</v>
      </c>
      <c r="R220" s="1037">
        <v>998</v>
      </c>
      <c r="S220" s="1037">
        <v>1027</v>
      </c>
      <c r="T220" s="1037">
        <v>1159</v>
      </c>
      <c r="U220" s="419">
        <f t="shared" si="625" ref="U220:U227">V220-SUM(R220,S220,T220)</f>
        <v>1144</v>
      </c>
      <c r="V220" s="1132">
        <v>4328</v>
      </c>
      <c r="W220" s="1037">
        <v>1022</v>
      </c>
      <c r="X220" s="1037">
        <v>1065</v>
      </c>
      <c r="Y220" s="1037">
        <v>1267</v>
      </c>
      <c r="Z220" s="419">
        <f t="shared" si="626" ref="Z220:Z227">AA220-SUM(W220,X220,Y220)</f>
        <v>1225</v>
      </c>
      <c r="AA220" s="1132">
        <v>4579</v>
      </c>
      <c r="AB220" s="1037">
        <v>1107</v>
      </c>
      <c r="AC220" s="1037">
        <v>1161</v>
      </c>
      <c r="AD220" s="1037">
        <v>1327</v>
      </c>
      <c r="AE220" s="419">
        <f t="shared" si="627" ref="AE220:AE227">AF220-SUM(AB220,AC220,AD220)</f>
        <v>1270</v>
      </c>
      <c r="AF220" s="1132">
        <v>4865</v>
      </c>
      <c r="AG220" s="1037">
        <v>1173</v>
      </c>
      <c r="AH220" s="1037">
        <v>1200</v>
      </c>
      <c r="AI220" s="1037">
        <v>1442</v>
      </c>
      <c r="AJ220" s="419">
        <f t="shared" si="628" ref="AJ220:AJ227">AK220-SUM(AG220,AH220,AI220)</f>
        <v>1370</v>
      </c>
      <c r="AK220" s="1132">
        <v>5185</v>
      </c>
      <c r="AL220" s="1037">
        <v>1209</v>
      </c>
      <c r="AM220" s="1037">
        <v>1184</v>
      </c>
      <c r="AN220" s="1037">
        <v>1381</v>
      </c>
      <c r="AO220" s="419">
        <f t="shared" si="629" ref="AO220:AO227">AP220-SUM(AL220,AM220,AN220)</f>
        <v>1325</v>
      </c>
      <c r="AP220" s="1132">
        <v>5099</v>
      </c>
      <c r="AQ220" s="1037">
        <v>1173</v>
      </c>
      <c r="AR220" s="1037">
        <v>1250</v>
      </c>
      <c r="AS220" s="1037">
        <v>1529</v>
      </c>
      <c r="AT220" s="419">
        <f t="shared" si="630" ref="AT220:AT227">AU220-SUM(AQ220,AR220,AS220)</f>
        <v>1452</v>
      </c>
      <c r="AU220" s="1132">
        <v>5404</v>
      </c>
      <c r="AV220" s="1037">
        <v>1302</v>
      </c>
      <c r="AW220" s="1037">
        <v>1393</v>
      </c>
      <c r="AX220" s="1037">
        <v>1767</v>
      </c>
      <c r="AY220" s="419">
        <f t="shared" si="631" ref="AY220:AY227">AZ220-SUM(AV220,AW220,AX220)</f>
        <v>1623</v>
      </c>
      <c r="AZ220" s="1132">
        <v>6085</v>
      </c>
      <c r="BA220" s="1037">
        <v>1437</v>
      </c>
      <c r="BB220" s="1037">
        <v>1507</v>
      </c>
      <c r="BC220" s="1037">
        <v>1855</v>
      </c>
      <c r="BD220" s="419">
        <f t="shared" si="632" ref="BD220:BD227">BE220-SUM(BA220,BB220,BC220)</f>
        <v>1732</v>
      </c>
      <c r="BE220" s="1132">
        <v>6531</v>
      </c>
      <c r="BF220" s="1037">
        <v>1546</v>
      </c>
      <c r="BG220" s="1037">
        <v>1585</v>
      </c>
      <c r="BH220" s="1038">
        <v>2055</v>
      </c>
      <c r="BI220" s="171"/>
      <c r="BJ220" s="1133"/>
      <c r="BK220" s="171"/>
      <c r="BL220" s="171"/>
      <c r="BM220" s="171"/>
      <c r="BN220" s="171"/>
      <c r="BO220" s="1133"/>
      <c r="BP220" s="1131"/>
      <c r="BQ220" s="1131"/>
      <c r="BR220" s="1133"/>
      <c r="BS220" s="119"/>
    </row>
    <row r="221" spans="1:71" s="680" customFormat="1" ht="15" hidden="1" outlineLevel="1">
      <c r="A221" s="118" t="s">
        <v>173</v>
      </c>
      <c r="B221" s="420"/>
      <c r="C221" s="1132">
        <v>444</v>
      </c>
      <c r="D221" s="1132">
        <v>451</v>
      </c>
      <c r="E221" s="1132">
        <v>430</v>
      </c>
      <c r="F221" s="1132">
        <v>318</v>
      </c>
      <c r="G221" s="1132">
        <v>114</v>
      </c>
      <c r="H221" s="1037">
        <v>28</v>
      </c>
      <c r="I221" s="1037">
        <v>27</v>
      </c>
      <c r="J221" s="1037">
        <v>27</v>
      </c>
      <c r="K221" s="419">
        <f t="shared" si="623"/>
        <v>26</v>
      </c>
      <c r="L221" s="1132">
        <v>108</v>
      </c>
      <c r="M221" s="1037">
        <v>25</v>
      </c>
      <c r="N221" s="1037">
        <v>27</v>
      </c>
      <c r="O221" s="1037">
        <v>28</v>
      </c>
      <c r="P221" s="419">
        <f t="shared" si="624"/>
        <v>24</v>
      </c>
      <c r="Q221" s="1132">
        <v>104</v>
      </c>
      <c r="R221" s="1037">
        <v>6</v>
      </c>
      <c r="S221" s="1037">
        <v>6</v>
      </c>
      <c r="T221" s="1037">
        <v>6</v>
      </c>
      <c r="U221" s="419">
        <f t="shared" si="625"/>
        <v>6</v>
      </c>
      <c r="V221" s="1132">
        <v>24</v>
      </c>
      <c r="W221" s="1037">
        <v>6</v>
      </c>
      <c r="X221" s="1037">
        <v>5</v>
      </c>
      <c r="Y221" s="1037">
        <v>6</v>
      </c>
      <c r="Z221" s="419">
        <f t="shared" si="626"/>
        <v>5</v>
      </c>
      <c r="AA221" s="1132">
        <v>22</v>
      </c>
      <c r="AB221" s="1037">
        <v>6</v>
      </c>
      <c r="AC221" s="1037">
        <v>6</v>
      </c>
      <c r="AD221" s="1037">
        <v>6</v>
      </c>
      <c r="AE221" s="419">
        <f t="shared" si="627"/>
        <v>6</v>
      </c>
      <c r="AF221" s="1132">
        <v>24</v>
      </c>
      <c r="AG221" s="1037">
        <v>6</v>
      </c>
      <c r="AH221" s="1037">
        <v>5</v>
      </c>
      <c r="AI221" s="1037">
        <v>6</v>
      </c>
      <c r="AJ221" s="419">
        <f t="shared" si="628"/>
        <v>5</v>
      </c>
      <c r="AK221" s="1132">
        <v>22</v>
      </c>
      <c r="AL221" s="419"/>
      <c r="AM221" s="419"/>
      <c r="AN221" s="419"/>
      <c r="AO221" s="419">
        <f t="shared" si="629"/>
        <v>0</v>
      </c>
      <c r="AP221" s="1131"/>
      <c r="AQ221" s="419"/>
      <c r="AR221" s="419"/>
      <c r="AS221" s="419"/>
      <c r="AT221" s="419">
        <f t="shared" si="630"/>
        <v>0</v>
      </c>
      <c r="AU221" s="1131"/>
      <c r="AV221" s="419"/>
      <c r="AW221" s="419"/>
      <c r="AX221" s="419"/>
      <c r="AY221" s="419">
        <f t="shared" si="631"/>
        <v>0</v>
      </c>
      <c r="AZ221" s="1131"/>
      <c r="BA221" s="419"/>
      <c r="BB221" s="419"/>
      <c r="BC221" s="419"/>
      <c r="BD221" s="419">
        <f t="shared" si="632"/>
        <v>0</v>
      </c>
      <c r="BE221" s="1131"/>
      <c r="BF221" s="419"/>
      <c r="BG221" s="419"/>
      <c r="BH221" s="464"/>
      <c r="BI221" s="171"/>
      <c r="BJ221" s="1133"/>
      <c r="BK221" s="171"/>
      <c r="BL221" s="171"/>
      <c r="BM221" s="171"/>
      <c r="BN221" s="171"/>
      <c r="BO221" s="1133"/>
      <c r="BP221" s="1131"/>
      <c r="BQ221" s="1131"/>
      <c r="BR221" s="1133"/>
      <c r="BS221" s="119"/>
    </row>
    <row r="222" spans="1:71" s="680" customFormat="1" ht="15" hidden="1" outlineLevel="1">
      <c r="A222" s="118" t="s">
        <v>174</v>
      </c>
      <c r="B222" s="420"/>
      <c r="C222" s="1132">
        <v>1200</v>
      </c>
      <c r="D222" s="1132">
        <v>1191</v>
      </c>
      <c r="E222" s="1132">
        <v>1241</v>
      </c>
      <c r="F222" s="1132">
        <v>1301</v>
      </c>
      <c r="G222" s="1132">
        <v>1346</v>
      </c>
      <c r="H222" s="1037">
        <v>361</v>
      </c>
      <c r="I222" s="1037">
        <v>379</v>
      </c>
      <c r="J222" s="1037">
        <v>377</v>
      </c>
      <c r="K222" s="419">
        <f t="shared" si="623"/>
        <v>384</v>
      </c>
      <c r="L222" s="1132">
        <v>1501</v>
      </c>
      <c r="M222" s="1037">
        <v>388</v>
      </c>
      <c r="N222" s="1037">
        <v>404</v>
      </c>
      <c r="O222" s="1037">
        <v>425</v>
      </c>
      <c r="P222" s="419">
        <f t="shared" si="624"/>
        <v>416</v>
      </c>
      <c r="Q222" s="1132">
        <v>1633</v>
      </c>
      <c r="R222" s="1037">
        <v>411</v>
      </c>
      <c r="S222" s="1037">
        <v>423</v>
      </c>
      <c r="T222" s="1037">
        <v>433</v>
      </c>
      <c r="U222" s="419">
        <f t="shared" si="625"/>
        <v>429</v>
      </c>
      <c r="V222" s="1132">
        <v>1696</v>
      </c>
      <c r="W222" s="1037">
        <v>435</v>
      </c>
      <c r="X222" s="1037">
        <v>460</v>
      </c>
      <c r="Y222" s="1037">
        <v>471</v>
      </c>
      <c r="Z222" s="419">
        <f t="shared" si="626"/>
        <v>465</v>
      </c>
      <c r="AA222" s="1132">
        <v>1831</v>
      </c>
      <c r="AB222" s="1037">
        <v>495</v>
      </c>
      <c r="AC222" s="1037">
        <v>530</v>
      </c>
      <c r="AD222" s="1037">
        <v>527</v>
      </c>
      <c r="AE222" s="419">
        <f t="shared" si="627"/>
        <v>542</v>
      </c>
      <c r="AF222" s="1132">
        <v>2094</v>
      </c>
      <c r="AG222" s="1037">
        <v>542</v>
      </c>
      <c r="AH222" s="1037">
        <v>580</v>
      </c>
      <c r="AI222" s="1037">
        <v>588</v>
      </c>
      <c r="AJ222" s="419">
        <f t="shared" si="628"/>
        <v>593</v>
      </c>
      <c r="AK222" s="1132">
        <v>2303</v>
      </c>
      <c r="AL222" s="1037">
        <v>104</v>
      </c>
      <c r="AM222" s="1037">
        <v>88</v>
      </c>
      <c r="AN222" s="1037">
        <v>122</v>
      </c>
      <c r="AO222" s="419">
        <f t="shared" si="629"/>
        <v>147</v>
      </c>
      <c r="AP222" s="1132">
        <v>461</v>
      </c>
      <c r="AQ222" s="1037">
        <v>188</v>
      </c>
      <c r="AR222" s="1037">
        <v>164</v>
      </c>
      <c r="AS222" s="1037">
        <v>169</v>
      </c>
      <c r="AT222" s="419">
        <f t="shared" si="630"/>
        <v>209</v>
      </c>
      <c r="AU222" s="1132">
        <v>730</v>
      </c>
      <c r="AV222" s="1037">
        <v>230</v>
      </c>
      <c r="AW222" s="1037">
        <v>168</v>
      </c>
      <c r="AX222" s="1037">
        <v>151</v>
      </c>
      <c r="AY222" s="419">
        <f t="shared" si="631"/>
        <v>168</v>
      </c>
      <c r="AZ222" s="1132">
        <v>717</v>
      </c>
      <c r="BA222" s="1037">
        <v>217</v>
      </c>
      <c r="BB222" s="1037">
        <v>198</v>
      </c>
      <c r="BC222" s="1037">
        <v>168</v>
      </c>
      <c r="BD222" s="419">
        <f t="shared" si="632"/>
        <v>159</v>
      </c>
      <c r="BE222" s="1132">
        <v>742</v>
      </c>
      <c r="BF222" s="1037">
        <v>198</v>
      </c>
      <c r="BG222" s="1037">
        <v>188</v>
      </c>
      <c r="BH222" s="1038">
        <v>200</v>
      </c>
      <c r="BI222" s="171"/>
      <c r="BJ222" s="1133"/>
      <c r="BK222" s="171"/>
      <c r="BL222" s="171"/>
      <c r="BM222" s="171"/>
      <c r="BN222" s="171"/>
      <c r="BO222" s="1133"/>
      <c r="BP222" s="1131"/>
      <c r="BQ222" s="1131"/>
      <c r="BR222" s="1133"/>
      <c r="BS222" s="119"/>
    </row>
    <row r="223" spans="1:71" s="680" customFormat="1" ht="15" hidden="1" outlineLevel="1">
      <c r="A223" s="118" t="s">
        <v>175</v>
      </c>
      <c r="B223" s="420"/>
      <c r="C223" s="1132">
        <v>43</v>
      </c>
      <c r="D223" s="1132">
        <v>101</v>
      </c>
      <c r="E223" s="1132">
        <v>76</v>
      </c>
      <c r="F223" s="1132">
        <v>210</v>
      </c>
      <c r="G223" s="1132">
        <v>221</v>
      </c>
      <c r="H223" s="1037">
        <v>19</v>
      </c>
      <c r="I223" s="1037">
        <v>12</v>
      </c>
      <c r="J223" s="1037">
        <v>13</v>
      </c>
      <c r="K223" s="419">
        <f t="shared" si="623"/>
        <v>8</v>
      </c>
      <c r="L223" s="1132">
        <v>52</v>
      </c>
      <c r="M223" s="1037">
        <v>19</v>
      </c>
      <c r="N223" s="1037">
        <v>-1</v>
      </c>
      <c r="O223" s="1037">
        <v>-16</v>
      </c>
      <c r="P223" s="419">
        <f t="shared" si="624"/>
        <v>-21</v>
      </c>
      <c r="Q223" s="1132">
        <v>-19</v>
      </c>
      <c r="R223" s="1037">
        <v>-18</v>
      </c>
      <c r="S223" s="1037">
        <v>-16</v>
      </c>
      <c r="T223" s="1037">
        <v>2</v>
      </c>
      <c r="U223" s="419">
        <f t="shared" si="625"/>
        <v>51</v>
      </c>
      <c r="V223" s="1132">
        <v>19</v>
      </c>
      <c r="W223" s="1037">
        <v>3</v>
      </c>
      <c r="X223" s="1037">
        <v>8</v>
      </c>
      <c r="Y223" s="1037">
        <v>-12</v>
      </c>
      <c r="Z223" s="419">
        <f t="shared" si="626"/>
        <v>6</v>
      </c>
      <c r="AA223" s="1132">
        <v>5</v>
      </c>
      <c r="AB223" s="1037">
        <v>-93</v>
      </c>
      <c r="AC223" s="1037">
        <v>31</v>
      </c>
      <c r="AD223" s="1037">
        <v>34</v>
      </c>
      <c r="AE223" s="419">
        <f t="shared" si="627"/>
        <v>-238</v>
      </c>
      <c r="AF223" s="1132">
        <v>-266</v>
      </c>
      <c r="AG223" s="1037">
        <v>184</v>
      </c>
      <c r="AH223" s="1037">
        <v>56</v>
      </c>
      <c r="AI223" s="1037">
        <v>-18</v>
      </c>
      <c r="AJ223" s="419">
        <f t="shared" si="628"/>
        <v>65</v>
      </c>
      <c r="AK223" s="1132">
        <v>287</v>
      </c>
      <c r="AL223" s="1037">
        <v>-328</v>
      </c>
      <c r="AM223" s="1037">
        <v>108</v>
      </c>
      <c r="AN223" s="1037">
        <v>23</v>
      </c>
      <c r="AO223" s="419">
        <f t="shared" si="629"/>
        <v>122</v>
      </c>
      <c r="AP223" s="1132">
        <v>-75</v>
      </c>
      <c r="AQ223" s="1037">
        <v>77</v>
      </c>
      <c r="AR223" s="1037">
        <v>43</v>
      </c>
      <c r="AS223" s="1037">
        <v>-17</v>
      </c>
      <c r="AT223" s="419">
        <f t="shared" si="630"/>
        <v>7</v>
      </c>
      <c r="AU223" s="1132">
        <v>110</v>
      </c>
      <c r="AV223" s="1037">
        <v>-15</v>
      </c>
      <c r="AW223" s="1037">
        <v>-93</v>
      </c>
      <c r="AX223" s="1037">
        <v>-35</v>
      </c>
      <c r="AY223" s="419">
        <f t="shared" si="631"/>
        <v>27</v>
      </c>
      <c r="AZ223" s="1132">
        <v>-116</v>
      </c>
      <c r="BA223" s="1037">
        <v>-46</v>
      </c>
      <c r="BB223" s="1037">
        <v>-2</v>
      </c>
      <c r="BC223" s="1037">
        <v>-19</v>
      </c>
      <c r="BD223" s="419">
        <f t="shared" si="632"/>
        <v>31</v>
      </c>
      <c r="BE223" s="1132">
        <v>-36</v>
      </c>
      <c r="BF223" s="1037">
        <v>14</v>
      </c>
      <c r="BG223" s="1037">
        <v>-2</v>
      </c>
      <c r="BH223" s="1038">
        <v>-2</v>
      </c>
      <c r="BI223" s="171"/>
      <c r="BJ223" s="1133"/>
      <c r="BK223" s="171"/>
      <c r="BL223" s="171"/>
      <c r="BM223" s="171"/>
      <c r="BN223" s="171"/>
      <c r="BO223" s="1133"/>
      <c r="BP223" s="1131"/>
      <c r="BQ223" s="1131"/>
      <c r="BR223" s="1133"/>
      <c r="BS223" s="119"/>
    </row>
    <row r="224" spans="1:71" s="680" customFormat="1" ht="15" hidden="1" outlineLevel="1">
      <c r="A224" s="118" t="s">
        <v>176</v>
      </c>
      <c r="B224" s="420"/>
      <c r="C224" s="1132">
        <v>-5</v>
      </c>
      <c r="D224" s="1132">
        <v>-13</v>
      </c>
      <c r="E224" s="1132">
        <v>-3</v>
      </c>
      <c r="F224" s="1132">
        <v>161</v>
      </c>
      <c r="G224" s="1132">
        <v>-4</v>
      </c>
      <c r="H224" s="1037">
        <v>0</v>
      </c>
      <c r="I224" s="1037">
        <v>0</v>
      </c>
      <c r="J224" s="1037">
        <v>0</v>
      </c>
      <c r="K224" s="419">
        <f t="shared" si="623"/>
        <v>0</v>
      </c>
      <c r="L224" s="1132">
        <v>0</v>
      </c>
      <c r="M224" s="1037">
        <v>-162</v>
      </c>
      <c r="N224" s="1037">
        <v>0</v>
      </c>
      <c r="O224" s="1037">
        <v>5</v>
      </c>
      <c r="P224" s="419">
        <f t="shared" si="624"/>
        <v>-4</v>
      </c>
      <c r="Q224" s="1132">
        <v>-161</v>
      </c>
      <c r="R224" s="419"/>
      <c r="S224" s="1037">
        <v>2</v>
      </c>
      <c r="T224" s="1037">
        <v>0</v>
      </c>
      <c r="U224" s="419">
        <f t="shared" si="625"/>
        <v>0</v>
      </c>
      <c r="V224" s="1132">
        <v>2</v>
      </c>
      <c r="W224" s="419"/>
      <c r="X224" s="1037">
        <v>0</v>
      </c>
      <c r="Y224" s="1037">
        <v>0</v>
      </c>
      <c r="Z224" s="419">
        <f t="shared" si="626"/>
        <v>0</v>
      </c>
      <c r="AA224" s="1131"/>
      <c r="AB224" s="419"/>
      <c r="AC224" s="419"/>
      <c r="AD224" s="419"/>
      <c r="AE224" s="419">
        <f t="shared" si="627"/>
        <v>0</v>
      </c>
      <c r="AF224" s="1131"/>
      <c r="AG224" s="419"/>
      <c r="AH224" s="419"/>
      <c r="AI224" s="419"/>
      <c r="AJ224" s="419">
        <f t="shared" si="628"/>
        <v>0</v>
      </c>
      <c r="AK224" s="1131"/>
      <c r="AL224" s="419"/>
      <c r="AM224" s="419"/>
      <c r="AN224" s="1037">
        <v>-30</v>
      </c>
      <c r="AO224" s="419">
        <f t="shared" si="629"/>
        <v>53</v>
      </c>
      <c r="AP224" s="1132">
        <v>23</v>
      </c>
      <c r="AQ224" s="419"/>
      <c r="AR224" s="1037">
        <v>4</v>
      </c>
      <c r="AS224" s="419"/>
      <c r="AT224" s="419">
        <f t="shared" si="630"/>
        <v>0</v>
      </c>
      <c r="AU224" s="1132">
        <v>4</v>
      </c>
      <c r="AV224" s="419"/>
      <c r="AW224" s="1037">
        <v>0</v>
      </c>
      <c r="AX224" s="1037">
        <v>0</v>
      </c>
      <c r="AY224" s="419">
        <f t="shared" si="631"/>
        <v>0</v>
      </c>
      <c r="AZ224" s="1132">
        <v>0</v>
      </c>
      <c r="BA224" s="419"/>
      <c r="BB224" s="419"/>
      <c r="BC224" s="1037">
        <v>-4</v>
      </c>
      <c r="BD224" s="419">
        <f t="shared" si="632"/>
        <v>0</v>
      </c>
      <c r="BE224" s="1132">
        <v>-4</v>
      </c>
      <c r="BF224" s="419"/>
      <c r="BG224" s="419"/>
      <c r="BH224" s="464"/>
      <c r="BI224" s="171"/>
      <c r="BJ224" s="1133"/>
      <c r="BK224" s="171"/>
      <c r="BL224" s="171"/>
      <c r="BM224" s="171"/>
      <c r="BN224" s="171"/>
      <c r="BO224" s="1133"/>
      <c r="BP224" s="1131"/>
      <c r="BQ224" s="1131"/>
      <c r="BR224" s="1133"/>
      <c r="BS224" s="119"/>
    </row>
    <row r="225" spans="1:71" s="680" customFormat="1" ht="15" hidden="1" outlineLevel="1">
      <c r="A225" s="118" t="s">
        <v>177</v>
      </c>
      <c r="B225" s="420"/>
      <c r="C225" s="1131"/>
      <c r="D225" s="1132">
        <v>93</v>
      </c>
      <c r="E225" s="1132">
        <v>105</v>
      </c>
      <c r="F225" s="1132">
        <v>125</v>
      </c>
      <c r="G225" s="1132">
        <v>128</v>
      </c>
      <c r="H225" s="1037">
        <v>28</v>
      </c>
      <c r="I225" s="1037">
        <v>27</v>
      </c>
      <c r="J225" s="1037">
        <v>29</v>
      </c>
      <c r="K225" s="419">
        <f t="shared" si="623"/>
        <v>32</v>
      </c>
      <c r="L225" s="1132">
        <v>116</v>
      </c>
      <c r="M225" s="1037">
        <v>34</v>
      </c>
      <c r="N225" s="1037">
        <v>38</v>
      </c>
      <c r="O225" s="1037">
        <v>40</v>
      </c>
      <c r="P225" s="419">
        <f t="shared" si="624"/>
        <v>43</v>
      </c>
      <c r="Q225" s="1132">
        <v>155</v>
      </c>
      <c r="R225" s="1037">
        <v>45</v>
      </c>
      <c r="S225" s="1037">
        <v>48</v>
      </c>
      <c r="T225" s="1037">
        <v>48</v>
      </c>
      <c r="U225" s="419">
        <f t="shared" si="625"/>
        <v>49</v>
      </c>
      <c r="V225" s="1132">
        <v>190</v>
      </c>
      <c r="W225" s="1037">
        <v>51</v>
      </c>
      <c r="X225" s="1037">
        <v>50</v>
      </c>
      <c r="Y225" s="1037">
        <v>54</v>
      </c>
      <c r="Z225" s="419">
        <f t="shared" si="626"/>
        <v>55</v>
      </c>
      <c r="AA225" s="1132">
        <v>210</v>
      </c>
      <c r="AB225" s="1037">
        <v>58</v>
      </c>
      <c r="AC225" s="1037">
        <v>64</v>
      </c>
      <c r="AD225" s="1037">
        <v>65</v>
      </c>
      <c r="AE225" s="419">
        <f t="shared" si="627"/>
        <v>68</v>
      </c>
      <c r="AF225" s="1132">
        <v>255</v>
      </c>
      <c r="AG225" s="1037">
        <v>69</v>
      </c>
      <c r="AH225" s="1037">
        <v>70</v>
      </c>
      <c r="AI225" s="1037">
        <v>67</v>
      </c>
      <c r="AJ225" s="419">
        <f t="shared" si="628"/>
        <v>63</v>
      </c>
      <c r="AK225" s="1132">
        <v>269</v>
      </c>
      <c r="AL225" s="1037">
        <v>59</v>
      </c>
      <c r="AM225" s="1037">
        <v>49</v>
      </c>
      <c r="AN225" s="1037">
        <v>46</v>
      </c>
      <c r="AO225" s="419">
        <f t="shared" si="629"/>
        <v>47</v>
      </c>
      <c r="AP225" s="1132">
        <v>201</v>
      </c>
      <c r="AQ225" s="1037">
        <v>46</v>
      </c>
      <c r="AR225" s="1037">
        <v>44</v>
      </c>
      <c r="AS225" s="1037">
        <v>45</v>
      </c>
      <c r="AT225" s="419">
        <f t="shared" si="630"/>
        <v>46</v>
      </c>
      <c r="AU225" s="1132">
        <v>181</v>
      </c>
      <c r="AV225" s="1037">
        <v>46</v>
      </c>
      <c r="AW225" s="1037">
        <v>54</v>
      </c>
      <c r="AX225" s="1037">
        <v>75</v>
      </c>
      <c r="AY225" s="419">
        <f t="shared" si="631"/>
        <v>93</v>
      </c>
      <c r="AZ225" s="1132">
        <v>268</v>
      </c>
      <c r="BA225" s="1037">
        <v>104</v>
      </c>
      <c r="BB225" s="1037">
        <v>112</v>
      </c>
      <c r="BC225" s="1037">
        <v>105</v>
      </c>
      <c r="BD225" s="419">
        <f t="shared" si="632"/>
        <v>100</v>
      </c>
      <c r="BE225" s="1132">
        <v>421</v>
      </c>
      <c r="BF225" s="1037">
        <v>99</v>
      </c>
      <c r="BG225" s="1037">
        <v>98</v>
      </c>
      <c r="BH225" s="1038">
        <v>99</v>
      </c>
      <c r="BI225" s="171"/>
      <c r="BJ225" s="1133"/>
      <c r="BK225" s="171"/>
      <c r="BL225" s="171"/>
      <c r="BM225" s="171"/>
      <c r="BN225" s="171"/>
      <c r="BO225" s="1133"/>
      <c r="BP225" s="1131"/>
      <c r="BQ225" s="1131"/>
      <c r="BR225" s="1133"/>
      <c r="BS225" s="119"/>
    </row>
    <row r="226" spans="1:71" s="680" customFormat="1" ht="15" hidden="1" outlineLevel="1">
      <c r="A226" s="118" t="s">
        <v>178</v>
      </c>
      <c r="B226" s="420"/>
      <c r="C226" s="1131"/>
      <c r="D226" s="1132">
        <v>-70</v>
      </c>
      <c r="E226" s="1132">
        <v>-33</v>
      </c>
      <c r="F226" s="1132">
        <v>-94</v>
      </c>
      <c r="G226" s="1132">
        <v>-14</v>
      </c>
      <c r="H226" s="1037">
        <v>0</v>
      </c>
      <c r="I226" s="1037">
        <v>-10</v>
      </c>
      <c r="J226" s="1037">
        <v>-25</v>
      </c>
      <c r="K226" s="419">
        <f t="shared" si="623"/>
        <v>-9</v>
      </c>
      <c r="L226" s="1132">
        <v>-44</v>
      </c>
      <c r="M226" s="1037">
        <v>-3</v>
      </c>
      <c r="N226" s="1037">
        <v>-2</v>
      </c>
      <c r="O226" s="1037">
        <v>-11</v>
      </c>
      <c r="P226" s="419">
        <f t="shared" si="624"/>
        <v>-18</v>
      </c>
      <c r="Q226" s="1132">
        <v>-34</v>
      </c>
      <c r="R226" s="1037">
        <v>-13</v>
      </c>
      <c r="S226" s="1037">
        <v>11</v>
      </c>
      <c r="T226" s="1037">
        <v>11</v>
      </c>
      <c r="U226" s="419">
        <f t="shared" si="625"/>
        <v>6</v>
      </c>
      <c r="V226" s="1132">
        <v>15</v>
      </c>
      <c r="W226" s="1037">
        <v>0</v>
      </c>
      <c r="X226" s="1037">
        <v>11</v>
      </c>
      <c r="Y226" s="1037">
        <v>1</v>
      </c>
      <c r="Z226" s="419">
        <f t="shared" si="626"/>
        <v>0</v>
      </c>
      <c r="AA226" s="1132">
        <v>12</v>
      </c>
      <c r="AB226" s="1037">
        <v>-3</v>
      </c>
      <c r="AC226" s="1037">
        <v>-2</v>
      </c>
      <c r="AD226" s="1037">
        <v>-5</v>
      </c>
      <c r="AE226" s="419">
        <f t="shared" si="627"/>
        <v>-11</v>
      </c>
      <c r="AF226" s="1132">
        <v>-21</v>
      </c>
      <c r="AG226" s="1037">
        <v>0</v>
      </c>
      <c r="AH226" s="1037">
        <v>-2</v>
      </c>
      <c r="AI226" s="1037">
        <v>-14</v>
      </c>
      <c r="AJ226" s="419">
        <f t="shared" si="628"/>
        <v>-14</v>
      </c>
      <c r="AK226" s="1132">
        <v>-30</v>
      </c>
      <c r="AL226" s="1037">
        <v>-13</v>
      </c>
      <c r="AM226" s="1037">
        <v>-3</v>
      </c>
      <c r="AN226" s="1037">
        <v>-5</v>
      </c>
      <c r="AO226" s="419">
        <f t="shared" si="629"/>
        <v>1</v>
      </c>
      <c r="AP226" s="1132">
        <v>-20</v>
      </c>
      <c r="AQ226" s="1037">
        <v>2</v>
      </c>
      <c r="AR226" s="1037">
        <v>6</v>
      </c>
      <c r="AS226" s="1037">
        <v>1</v>
      </c>
      <c r="AT226" s="419">
        <f t="shared" si="630"/>
        <v>1</v>
      </c>
      <c r="AU226" s="1132">
        <v>10</v>
      </c>
      <c r="AV226" s="1037">
        <v>-5</v>
      </c>
      <c r="AW226" s="1037">
        <v>-15</v>
      </c>
      <c r="AX226" s="1037">
        <v>-5</v>
      </c>
      <c r="AY226" s="419">
        <f t="shared" si="631"/>
        <v>-6</v>
      </c>
      <c r="AZ226" s="1132">
        <v>-31</v>
      </c>
      <c r="BA226" s="1037">
        <v>-4</v>
      </c>
      <c r="BB226" s="419"/>
      <c r="BC226" s="1037">
        <v>16</v>
      </c>
      <c r="BD226" s="419">
        <f t="shared" si="632"/>
        <v>15</v>
      </c>
      <c r="BE226" s="1132">
        <v>27</v>
      </c>
      <c r="BF226" s="1037">
        <v>10</v>
      </c>
      <c r="BG226" s="1037">
        <v>4</v>
      </c>
      <c r="BH226" s="1038">
        <v>-9</v>
      </c>
      <c r="BI226" s="171"/>
      <c r="BJ226" s="1133"/>
      <c r="BK226" s="171"/>
      <c r="BL226" s="171"/>
      <c r="BM226" s="171"/>
      <c r="BN226" s="171"/>
      <c r="BO226" s="1133"/>
      <c r="BP226" s="1131"/>
      <c r="BQ226" s="1131"/>
      <c r="BR226" s="1133"/>
      <c r="BS226" s="119"/>
    </row>
    <row r="227" spans="1:71" s="680" customFormat="1" ht="15" hidden="1" outlineLevel="1">
      <c r="A227" s="118" t="s">
        <v>179</v>
      </c>
      <c r="B227" s="420"/>
      <c r="C227" s="1132">
        <v>226</v>
      </c>
      <c r="D227" s="1132">
        <v>194</v>
      </c>
      <c r="E227" s="1132">
        <v>175</v>
      </c>
      <c r="F227" s="1132">
        <v>89</v>
      </c>
      <c r="G227" s="1132">
        <v>97</v>
      </c>
      <c r="H227" s="1037">
        <v>21</v>
      </c>
      <c r="I227" s="1037">
        <v>26</v>
      </c>
      <c r="J227" s="1037">
        <v>28</v>
      </c>
      <c r="K227" s="419">
        <f t="shared" si="623"/>
        <v>47</v>
      </c>
      <c r="L227" s="1132">
        <v>122</v>
      </c>
      <c r="M227" s="1037">
        <v>50</v>
      </c>
      <c r="N227" s="1037">
        <v>92</v>
      </c>
      <c r="O227" s="1037">
        <v>43</v>
      </c>
      <c r="P227" s="419">
        <f t="shared" si="624"/>
        <v>58</v>
      </c>
      <c r="Q227" s="1132">
        <v>243</v>
      </c>
      <c r="R227" s="1037">
        <v>46</v>
      </c>
      <c r="S227" s="1037">
        <v>80</v>
      </c>
      <c r="T227" s="1037">
        <v>46</v>
      </c>
      <c r="U227" s="419">
        <f t="shared" si="625"/>
        <v>52</v>
      </c>
      <c r="V227" s="1132">
        <v>224</v>
      </c>
      <c r="W227" s="1037">
        <v>59</v>
      </c>
      <c r="X227" s="1037">
        <v>47</v>
      </c>
      <c r="Y227" s="1037">
        <v>48</v>
      </c>
      <c r="Z227" s="419">
        <f t="shared" si="626"/>
        <v>52</v>
      </c>
      <c r="AA227" s="1132">
        <v>206</v>
      </c>
      <c r="AB227" s="1037">
        <v>49</v>
      </c>
      <c r="AC227" s="1037">
        <v>43</v>
      </c>
      <c r="AD227" s="1037">
        <v>54</v>
      </c>
      <c r="AE227" s="419">
        <f t="shared" si="627"/>
        <v>53</v>
      </c>
      <c r="AF227" s="1132">
        <v>199</v>
      </c>
      <c r="AG227" s="1040">
        <v>50</v>
      </c>
      <c r="AH227" s="1037">
        <v>51</v>
      </c>
      <c r="AI227" s="1037">
        <v>52</v>
      </c>
      <c r="AJ227" s="419">
        <f t="shared" si="628"/>
        <v>48</v>
      </c>
      <c r="AK227" s="1132">
        <v>201</v>
      </c>
      <c r="AL227" s="1040">
        <v>24</v>
      </c>
      <c r="AM227" s="1037">
        <v>19</v>
      </c>
      <c r="AN227" s="1037">
        <v>19</v>
      </c>
      <c r="AO227" s="419">
        <f t="shared" si="629"/>
        <v>18</v>
      </c>
      <c r="AP227" s="1132">
        <v>80</v>
      </c>
      <c r="AQ227" s="1040">
        <v>23</v>
      </c>
      <c r="AR227" s="1037">
        <v>20</v>
      </c>
      <c r="AS227" s="1037">
        <v>27</v>
      </c>
      <c r="AT227" s="419">
        <f t="shared" si="630"/>
        <v>43</v>
      </c>
      <c r="AU227" s="1132">
        <v>113</v>
      </c>
      <c r="AV227" s="1040">
        <v>30</v>
      </c>
      <c r="AW227" s="1037">
        <v>32</v>
      </c>
      <c r="AX227" s="1037">
        <v>31</v>
      </c>
      <c r="AY227" s="419">
        <f t="shared" si="631"/>
        <v>24</v>
      </c>
      <c r="AZ227" s="1132">
        <v>117</v>
      </c>
      <c r="BA227" s="1040">
        <v>32</v>
      </c>
      <c r="BB227" s="1037">
        <v>25</v>
      </c>
      <c r="BC227" s="1037">
        <v>43</v>
      </c>
      <c r="BD227" s="419">
        <f t="shared" si="632"/>
        <v>46</v>
      </c>
      <c r="BE227" s="1132">
        <v>146</v>
      </c>
      <c r="BF227" s="1040">
        <v>39</v>
      </c>
      <c r="BG227" s="1037">
        <v>27</v>
      </c>
      <c r="BH227" s="1038">
        <v>26</v>
      </c>
      <c r="BI227" s="171"/>
      <c r="BJ227" s="1133"/>
      <c r="BK227" s="171"/>
      <c r="BL227" s="171"/>
      <c r="BM227" s="171"/>
      <c r="BN227" s="171"/>
      <c r="BO227" s="1133"/>
      <c r="BP227" s="1131"/>
      <c r="BQ227" s="1131"/>
      <c r="BR227" s="1133"/>
      <c r="BS227" s="119"/>
    </row>
    <row r="228" spans="1:71" s="681" customFormat="1" ht="15" hidden="1" outlineLevel="1">
      <c r="A228" s="120" t="s">
        <v>180</v>
      </c>
      <c r="B228" s="507"/>
      <c r="C228" s="1139">
        <f t="shared" si="633" ref="C228:AK228">SUM(C220:C227)</f>
        <v>4320</v>
      </c>
      <c r="D228" s="1139">
        <f t="shared" si="633"/>
        <v>4497</v>
      </c>
      <c r="E228" s="1139">
        <f t="shared" si="633"/>
        <v>4750</v>
      </c>
      <c r="F228" s="1139">
        <f t="shared" si="633"/>
        <v>4957</v>
      </c>
      <c r="G228" s="1139">
        <f t="shared" si="633"/>
        <v>5092</v>
      </c>
      <c r="H228" s="596">
        <f t="shared" si="633"/>
        <v>1211</v>
      </c>
      <c r="I228" s="596">
        <f t="shared" si="633"/>
        <v>1392</v>
      </c>
      <c r="J228" s="596">
        <f t="shared" si="633"/>
        <v>1581</v>
      </c>
      <c r="K228" s="596">
        <f t="shared" si="633"/>
        <v>1549</v>
      </c>
      <c r="L228" s="1139">
        <f t="shared" si="633"/>
        <v>5733</v>
      </c>
      <c r="M228" s="596">
        <f t="shared" si="633"/>
        <v>1297</v>
      </c>
      <c r="N228" s="596">
        <f t="shared" si="633"/>
        <v>1543</v>
      </c>
      <c r="O228" s="596">
        <f t="shared" si="633"/>
        <v>1687</v>
      </c>
      <c r="P228" s="596">
        <f t="shared" si="633"/>
        <v>1618</v>
      </c>
      <c r="Q228" s="1139">
        <f t="shared" si="633"/>
        <v>6145</v>
      </c>
      <c r="R228" s="596">
        <f t="shared" si="633"/>
        <v>1475</v>
      </c>
      <c r="S228" s="596">
        <f t="shared" si="633"/>
        <v>1581</v>
      </c>
      <c r="T228" s="596">
        <f t="shared" si="633"/>
        <v>1705</v>
      </c>
      <c r="U228" s="596">
        <f t="shared" si="633"/>
        <v>1737</v>
      </c>
      <c r="V228" s="1139">
        <f t="shared" si="633"/>
        <v>6498</v>
      </c>
      <c r="W228" s="596">
        <f t="shared" si="633"/>
        <v>1576</v>
      </c>
      <c r="X228" s="596">
        <f t="shared" si="633"/>
        <v>1646</v>
      </c>
      <c r="Y228" s="596">
        <f t="shared" si="633"/>
        <v>1835</v>
      </c>
      <c r="Z228" s="596">
        <f t="shared" si="633"/>
        <v>1808</v>
      </c>
      <c r="AA228" s="1139">
        <f t="shared" si="633"/>
        <v>6865</v>
      </c>
      <c r="AB228" s="596">
        <f t="shared" si="633"/>
        <v>1619</v>
      </c>
      <c r="AC228" s="596">
        <f t="shared" si="633"/>
        <v>1833</v>
      </c>
      <c r="AD228" s="596">
        <f t="shared" si="633"/>
        <v>2008</v>
      </c>
      <c r="AE228" s="596">
        <f t="shared" si="633"/>
        <v>1690</v>
      </c>
      <c r="AF228" s="1139">
        <f t="shared" si="633"/>
        <v>7150</v>
      </c>
      <c r="AG228" s="596">
        <f t="shared" si="633"/>
        <v>2024</v>
      </c>
      <c r="AH228" s="596">
        <f t="shared" si="633"/>
        <v>1960</v>
      </c>
      <c r="AI228" s="596">
        <f t="shared" si="633"/>
        <v>2123</v>
      </c>
      <c r="AJ228" s="596">
        <f t="shared" si="633"/>
        <v>2130</v>
      </c>
      <c r="AK228" s="1139">
        <f t="shared" si="633"/>
        <v>8237</v>
      </c>
      <c r="AL228" s="596">
        <f t="shared" si="634" ref="AL228:AQ228">SUM(AL220:AL227)</f>
        <v>1055</v>
      </c>
      <c r="AM228" s="596">
        <f t="shared" si="634"/>
        <v>1445</v>
      </c>
      <c r="AN228" s="596">
        <f t="shared" si="634"/>
        <v>1556</v>
      </c>
      <c r="AO228" s="596">
        <f t="shared" si="634"/>
        <v>1713</v>
      </c>
      <c r="AP228" s="1139">
        <f t="shared" si="634"/>
        <v>5769</v>
      </c>
      <c r="AQ228" s="596">
        <f t="shared" si="634"/>
        <v>1509</v>
      </c>
      <c r="AR228" s="596">
        <f t="shared" si="635" ref="AR228:AW228">SUM(AR220:AR227)</f>
        <v>1531</v>
      </c>
      <c r="AS228" s="596">
        <f t="shared" si="635"/>
        <v>1754</v>
      </c>
      <c r="AT228" s="596">
        <f t="shared" si="635"/>
        <v>1758</v>
      </c>
      <c r="AU228" s="1139">
        <f t="shared" si="635"/>
        <v>6552</v>
      </c>
      <c r="AV228" s="596">
        <f t="shared" si="635"/>
        <v>1588</v>
      </c>
      <c r="AW228" s="596">
        <f t="shared" si="635"/>
        <v>1539</v>
      </c>
      <c r="AX228" s="596">
        <f t="shared" si="636" ref="AX228:AZ228">SUM(AX220:AX227)</f>
        <v>1984</v>
      </c>
      <c r="AY228" s="596">
        <f t="shared" si="636"/>
        <v>1929</v>
      </c>
      <c r="AZ228" s="1139">
        <f t="shared" si="636"/>
        <v>7040</v>
      </c>
      <c r="BA228" s="596">
        <f t="shared" si="637" ref="BA228:BE228">SUM(BA220:BA227)</f>
        <v>1740</v>
      </c>
      <c r="BB228" s="596">
        <f t="shared" si="637"/>
        <v>1840</v>
      </c>
      <c r="BC228" s="596">
        <f t="shared" si="637"/>
        <v>2164</v>
      </c>
      <c r="BD228" s="596">
        <f t="shared" si="637"/>
        <v>2083</v>
      </c>
      <c r="BE228" s="1139">
        <f t="shared" si="637"/>
        <v>7827</v>
      </c>
      <c r="BF228" s="596">
        <f>SUM(BF220:BF227)</f>
        <v>1906</v>
      </c>
      <c r="BG228" s="596">
        <f>SUM(BG220:BG227)</f>
        <v>1900</v>
      </c>
      <c r="BH228" s="901">
        <f>SUM(BH220:BH227)</f>
        <v>2369</v>
      </c>
      <c r="BI228" s="596"/>
      <c r="BJ228" s="1139"/>
      <c r="BK228" s="596"/>
      <c r="BL228" s="596"/>
      <c r="BM228" s="596"/>
      <c r="BN228" s="596"/>
      <c r="BO228" s="1139"/>
      <c r="BP228" s="1139"/>
      <c r="BQ228" s="1139"/>
      <c r="BR228" s="1139"/>
      <c r="BS228" s="124"/>
    </row>
    <row r="229" spans="1:71" s="680" customFormat="1" ht="15" hidden="1" outlineLevel="1">
      <c r="A229" s="420" t="s">
        <v>181</v>
      </c>
      <c r="B229" s="420"/>
      <c r="C229" s="1132">
        <v>1187</v>
      </c>
      <c r="D229" s="1132">
        <v>1457</v>
      </c>
      <c r="E229" s="1132">
        <v>1744</v>
      </c>
      <c r="F229" s="1132">
        <v>1873</v>
      </c>
      <c r="G229" s="1132">
        <v>2040</v>
      </c>
      <c r="H229" s="1037">
        <v>429</v>
      </c>
      <c r="I229" s="1037">
        <v>602</v>
      </c>
      <c r="J229" s="1037">
        <v>784</v>
      </c>
      <c r="K229" s="419">
        <f t="shared" si="638" ref="K229:K236">L229-SUM(H229,I229,J229)</f>
        <v>679</v>
      </c>
      <c r="L229" s="1132">
        <v>2494</v>
      </c>
      <c r="M229" s="1037">
        <v>576</v>
      </c>
      <c r="N229" s="1037">
        <v>601</v>
      </c>
      <c r="O229" s="1037">
        <v>825</v>
      </c>
      <c r="P229" s="419">
        <f t="shared" si="639" ref="P229:P236">Q229-SUM(M229,N229,O229)</f>
        <v>693</v>
      </c>
      <c r="Q229" s="1132">
        <v>2695</v>
      </c>
      <c r="R229" s="1037">
        <v>581</v>
      </c>
      <c r="S229" s="1037">
        <v>687</v>
      </c>
      <c r="T229" s="1037">
        <v>765</v>
      </c>
      <c r="U229" s="419">
        <f t="shared" si="640" ref="U229:U236">V229-SUM(R229,S229,T229)</f>
        <v>729</v>
      </c>
      <c r="V229" s="1132">
        <v>2762</v>
      </c>
      <c r="W229" s="1037">
        <v>609</v>
      </c>
      <c r="X229" s="1037">
        <v>635</v>
      </c>
      <c r="Y229" s="1037">
        <v>995</v>
      </c>
      <c r="Z229" s="419">
        <f t="shared" si="641" ref="Z229:Z236">AA229-SUM(W229,X229,Y229)</f>
        <v>716</v>
      </c>
      <c r="AA229" s="1132">
        <v>2955</v>
      </c>
      <c r="AB229" s="1037">
        <v>641</v>
      </c>
      <c r="AC229" s="1037">
        <v>693</v>
      </c>
      <c r="AD229" s="1037">
        <v>872</v>
      </c>
      <c r="AE229" s="419">
        <f t="shared" si="642" ref="AE229:AE236">AF229-SUM(AB229,AC229,AD229)</f>
        <v>797</v>
      </c>
      <c r="AF229" s="1132">
        <v>3003</v>
      </c>
      <c r="AG229" s="1037">
        <v>692</v>
      </c>
      <c r="AH229" s="1037">
        <v>723</v>
      </c>
      <c r="AI229" s="1037">
        <v>944</v>
      </c>
      <c r="AJ229" s="419">
        <f t="shared" si="643" ref="AJ229:AJ236">AK229-SUM(AG229,AH229,AI229)</f>
        <v>912</v>
      </c>
      <c r="AK229" s="1132">
        <v>3271</v>
      </c>
      <c r="AL229" s="1037">
        <v>707</v>
      </c>
      <c r="AM229" s="1037">
        <v>771</v>
      </c>
      <c r="AN229" s="1037">
        <v>963</v>
      </c>
      <c r="AO229" s="419">
        <f t="shared" si="644" ref="AO229:AO236">AP229-SUM(AL229,AM229,AN229)</f>
        <v>830</v>
      </c>
      <c r="AP229" s="1132">
        <v>3271</v>
      </c>
      <c r="AQ229" s="1037">
        <v>667</v>
      </c>
      <c r="AR229" s="1037">
        <v>714</v>
      </c>
      <c r="AS229" s="1037">
        <v>954</v>
      </c>
      <c r="AT229" s="419">
        <f t="shared" si="645" ref="AT229:AT236">AU229-SUM(AQ229,AR229,AS229)</f>
        <v>822</v>
      </c>
      <c r="AU229" s="1132">
        <v>3157</v>
      </c>
      <c r="AV229" s="1037">
        <v>693</v>
      </c>
      <c r="AW229" s="1037">
        <v>774</v>
      </c>
      <c r="AX229" s="1037">
        <v>1176</v>
      </c>
      <c r="AY229" s="419">
        <f t="shared" si="646" ref="AY229:AY236">AZ229-SUM(AV229,AW229,AX229)</f>
        <v>986</v>
      </c>
      <c r="AZ229" s="1132">
        <v>3629</v>
      </c>
      <c r="BA229" s="1037">
        <v>820</v>
      </c>
      <c r="BB229" s="1037">
        <v>905</v>
      </c>
      <c r="BC229" s="1037">
        <v>1239</v>
      </c>
      <c r="BD229" s="419">
        <f t="shared" si="647" ref="BD229:BD236">BE229-SUM(BA229,BB229,BC229)</f>
        <v>1069</v>
      </c>
      <c r="BE229" s="1132">
        <v>4033</v>
      </c>
      <c r="BF229" s="1037">
        <v>912</v>
      </c>
      <c r="BG229" s="1037">
        <v>937</v>
      </c>
      <c r="BH229" s="1038">
        <v>1430</v>
      </c>
      <c r="BI229" s="171"/>
      <c r="BJ229" s="1133"/>
      <c r="BK229" s="171"/>
      <c r="BL229" s="171"/>
      <c r="BM229" s="171"/>
      <c r="BN229" s="171"/>
      <c r="BO229" s="1133"/>
      <c r="BP229" s="1131"/>
      <c r="BQ229" s="1131"/>
      <c r="BR229" s="1133"/>
      <c r="BS229" s="119"/>
    </row>
    <row r="230" spans="1:71" s="680" customFormat="1" ht="15" hidden="1" outlineLevel="1">
      <c r="A230" s="420" t="s">
        <v>182</v>
      </c>
      <c r="B230" s="420"/>
      <c r="C230" s="1132">
        <v>808</v>
      </c>
      <c r="D230" s="1132">
        <v>797</v>
      </c>
      <c r="E230" s="1132">
        <v>835</v>
      </c>
      <c r="F230" s="1132">
        <v>887</v>
      </c>
      <c r="G230" s="1132">
        <v>1019</v>
      </c>
      <c r="H230" s="1037">
        <v>267</v>
      </c>
      <c r="I230" s="1037">
        <v>300</v>
      </c>
      <c r="J230" s="1037">
        <v>302</v>
      </c>
      <c r="K230" s="419">
        <f t="shared" si="638"/>
        <v>303</v>
      </c>
      <c r="L230" s="1132">
        <v>1172</v>
      </c>
      <c r="M230" s="1037">
        <v>313</v>
      </c>
      <c r="N230" s="1037">
        <v>338</v>
      </c>
      <c r="O230" s="1037">
        <v>336</v>
      </c>
      <c r="P230" s="419">
        <f t="shared" si="639"/>
        <v>333</v>
      </c>
      <c r="Q230" s="1132">
        <v>1320</v>
      </c>
      <c r="R230" s="1037">
        <v>334</v>
      </c>
      <c r="S230" s="1037">
        <v>348</v>
      </c>
      <c r="T230" s="1037">
        <v>356</v>
      </c>
      <c r="U230" s="419">
        <f t="shared" si="640"/>
        <v>311</v>
      </c>
      <c r="V230" s="1132">
        <v>1349</v>
      </c>
      <c r="W230" s="1037">
        <v>339</v>
      </c>
      <c r="X230" s="1037">
        <v>366</v>
      </c>
      <c r="Y230" s="1037">
        <v>357</v>
      </c>
      <c r="Z230" s="419">
        <f t="shared" si="641"/>
        <v>345</v>
      </c>
      <c r="AA230" s="1132">
        <v>1407</v>
      </c>
      <c r="AB230" s="1037">
        <v>381</v>
      </c>
      <c r="AC230" s="1037">
        <v>400</v>
      </c>
      <c r="AD230" s="1037">
        <v>424</v>
      </c>
      <c r="AE230" s="419">
        <f t="shared" si="642"/>
        <v>378</v>
      </c>
      <c r="AF230" s="1132">
        <v>1583</v>
      </c>
      <c r="AG230" s="1037">
        <v>399</v>
      </c>
      <c r="AH230" s="1037">
        <v>426</v>
      </c>
      <c r="AI230" s="1037">
        <v>450</v>
      </c>
      <c r="AJ230" s="419">
        <f t="shared" si="643"/>
        <v>450</v>
      </c>
      <c r="AK230" s="1132">
        <v>1725</v>
      </c>
      <c r="AL230" s="1037">
        <v>420</v>
      </c>
      <c r="AM230" s="1037">
        <v>409</v>
      </c>
      <c r="AN230" s="1037">
        <v>406</v>
      </c>
      <c r="AO230" s="419">
        <f t="shared" si="644"/>
        <v>390</v>
      </c>
      <c r="AP230" s="1132">
        <v>1625</v>
      </c>
      <c r="AQ230" s="1037">
        <v>380</v>
      </c>
      <c r="AR230" s="1037">
        <v>390</v>
      </c>
      <c r="AS230" s="1037">
        <v>417</v>
      </c>
      <c r="AT230" s="419">
        <f t="shared" si="645"/>
        <v>360</v>
      </c>
      <c r="AU230" s="1132">
        <v>1547</v>
      </c>
      <c r="AV230" s="1037">
        <v>414</v>
      </c>
      <c r="AW230" s="419">
        <f>1206-AW229</f>
        <v>432</v>
      </c>
      <c r="AX230" s="1037">
        <v>445</v>
      </c>
      <c r="AY230" s="419">
        <f t="shared" si="646"/>
        <v>427</v>
      </c>
      <c r="AZ230" s="1132">
        <v>1718</v>
      </c>
      <c r="BA230" s="1037">
        <v>473</v>
      </c>
      <c r="BB230" s="1037">
        <v>485</v>
      </c>
      <c r="BC230" s="1037">
        <v>497</v>
      </c>
      <c r="BD230" s="419">
        <f t="shared" si="647"/>
        <v>480</v>
      </c>
      <c r="BE230" s="1132">
        <v>1935</v>
      </c>
      <c r="BF230" s="1037">
        <v>503</v>
      </c>
      <c r="BG230" s="1037">
        <v>506</v>
      </c>
      <c r="BH230" s="1038">
        <v>518</v>
      </c>
      <c r="BI230" s="171"/>
      <c r="BJ230" s="1133"/>
      <c r="BK230" s="171"/>
      <c r="BL230" s="171"/>
      <c r="BM230" s="171"/>
      <c r="BN230" s="171"/>
      <c r="BO230" s="1133"/>
      <c r="BP230" s="1131"/>
      <c r="BQ230" s="1131"/>
      <c r="BR230" s="1133"/>
      <c r="BS230" s="119"/>
    </row>
    <row r="231" spans="1:71" s="680" customFormat="1" ht="15" hidden="1" outlineLevel="1">
      <c r="A231" s="118" t="s">
        <v>183</v>
      </c>
      <c r="B231" s="420"/>
      <c r="C231" s="1132">
        <v>435</v>
      </c>
      <c r="D231" s="1132">
        <v>444</v>
      </c>
      <c r="E231" s="1132">
        <v>510</v>
      </c>
      <c r="F231" s="1132">
        <v>541</v>
      </c>
      <c r="G231" s="1132">
        <v>531</v>
      </c>
      <c r="H231" s="1037">
        <v>168</v>
      </c>
      <c r="I231" s="1037">
        <v>166</v>
      </c>
      <c r="J231" s="1037">
        <v>157</v>
      </c>
      <c r="K231" s="419">
        <f t="shared" si="638"/>
        <v>157</v>
      </c>
      <c r="L231" s="1132">
        <v>648</v>
      </c>
      <c r="M231" s="1037">
        <v>184</v>
      </c>
      <c r="N231" s="1037">
        <v>151</v>
      </c>
      <c r="O231" s="1037">
        <v>208</v>
      </c>
      <c r="P231" s="419">
        <f t="shared" si="639"/>
        <v>189</v>
      </c>
      <c r="Q231" s="1132">
        <v>732</v>
      </c>
      <c r="R231" s="1037">
        <v>228</v>
      </c>
      <c r="S231" s="1037">
        <v>223</v>
      </c>
      <c r="T231" s="1037">
        <v>189</v>
      </c>
      <c r="U231" s="419">
        <f t="shared" si="640"/>
        <v>160</v>
      </c>
      <c r="V231" s="1132">
        <v>800</v>
      </c>
      <c r="W231" s="1037">
        <v>196</v>
      </c>
      <c r="X231" s="1037">
        <v>224</v>
      </c>
      <c r="Y231" s="1037">
        <v>215</v>
      </c>
      <c r="Z231" s="419">
        <f t="shared" si="641"/>
        <v>257</v>
      </c>
      <c r="AA231" s="1132">
        <v>892</v>
      </c>
      <c r="AB231" s="1037">
        <v>182</v>
      </c>
      <c r="AC231" s="1037">
        <v>260</v>
      </c>
      <c r="AD231" s="1037">
        <v>222</v>
      </c>
      <c r="AE231" s="419">
        <f t="shared" si="642"/>
        <v>334</v>
      </c>
      <c r="AF231" s="1132">
        <v>998</v>
      </c>
      <c r="AG231" s="1037">
        <v>311</v>
      </c>
      <c r="AH231" s="1037">
        <v>339</v>
      </c>
      <c r="AI231" s="1037">
        <v>250</v>
      </c>
      <c r="AJ231" s="419">
        <f t="shared" si="643"/>
        <v>251</v>
      </c>
      <c r="AK231" s="1132">
        <v>1151</v>
      </c>
      <c r="AL231" s="419"/>
      <c r="AM231" s="419"/>
      <c r="AN231" s="419"/>
      <c r="AO231" s="419">
        <f t="shared" si="644"/>
        <v>0</v>
      </c>
      <c r="AP231" s="1131"/>
      <c r="AQ231" s="419"/>
      <c r="AR231" s="419"/>
      <c r="AS231" s="419"/>
      <c r="AT231" s="419">
        <f t="shared" si="645"/>
        <v>0</v>
      </c>
      <c r="AU231" s="1131"/>
      <c r="AV231" s="419"/>
      <c r="AW231" s="419"/>
      <c r="AX231" s="419"/>
      <c r="AY231" s="419">
        <f t="shared" si="646"/>
        <v>0</v>
      </c>
      <c r="AZ231" s="1131"/>
      <c r="BA231" s="419"/>
      <c r="BB231" s="419"/>
      <c r="BC231" s="419"/>
      <c r="BD231" s="419">
        <f t="shared" si="647"/>
        <v>0</v>
      </c>
      <c r="BE231" s="1131"/>
      <c r="BF231" s="419"/>
      <c r="BG231" s="419"/>
      <c r="BH231" s="464"/>
      <c r="BI231" s="171"/>
      <c r="BJ231" s="1133"/>
      <c r="BK231" s="171"/>
      <c r="BL231" s="171"/>
      <c r="BM231" s="171"/>
      <c r="BN231" s="171"/>
      <c r="BO231" s="1133"/>
      <c r="BP231" s="1131"/>
      <c r="BQ231" s="1131"/>
      <c r="BR231" s="1133"/>
      <c r="BS231" s="119"/>
    </row>
    <row r="232" spans="1:71" s="680" customFormat="1" ht="15" hidden="1" outlineLevel="1">
      <c r="A232" s="118" t="s">
        <v>184</v>
      </c>
      <c r="B232" s="420"/>
      <c r="C232" s="1132">
        <v>361</v>
      </c>
      <c r="D232" s="1132">
        <v>368</v>
      </c>
      <c r="E232" s="1132">
        <v>369</v>
      </c>
      <c r="F232" s="1132">
        <v>356</v>
      </c>
      <c r="G232" s="1132">
        <v>160</v>
      </c>
      <c r="H232" s="1037">
        <v>43</v>
      </c>
      <c r="I232" s="1037">
        <v>39</v>
      </c>
      <c r="J232" s="1037">
        <v>37</v>
      </c>
      <c r="K232" s="419">
        <f t="shared" si="638"/>
        <v>45</v>
      </c>
      <c r="L232" s="1132">
        <v>164</v>
      </c>
      <c r="M232" s="1037">
        <v>32</v>
      </c>
      <c r="N232" s="1037">
        <v>33</v>
      </c>
      <c r="O232" s="1037">
        <v>31</v>
      </c>
      <c r="P232" s="419">
        <f t="shared" si="639"/>
        <v>35</v>
      </c>
      <c r="Q232" s="1132">
        <v>131</v>
      </c>
      <c r="R232" s="1037">
        <v>9</v>
      </c>
      <c r="S232" s="1037">
        <v>9</v>
      </c>
      <c r="T232" s="1037">
        <v>8</v>
      </c>
      <c r="U232" s="419">
        <f t="shared" si="640"/>
        <v>7</v>
      </c>
      <c r="V232" s="1132">
        <v>33</v>
      </c>
      <c r="W232" s="1037">
        <v>9</v>
      </c>
      <c r="X232" s="1037">
        <v>6</v>
      </c>
      <c r="Y232" s="1037">
        <v>6</v>
      </c>
      <c r="Z232" s="419">
        <f t="shared" si="641"/>
        <v>5</v>
      </c>
      <c r="AA232" s="1132">
        <v>26</v>
      </c>
      <c r="AB232" s="1037">
        <v>11</v>
      </c>
      <c r="AC232" s="1037">
        <v>11</v>
      </c>
      <c r="AD232" s="1037">
        <v>10</v>
      </c>
      <c r="AE232" s="419">
        <f t="shared" si="642"/>
        <v>8</v>
      </c>
      <c r="AF232" s="1132">
        <v>40</v>
      </c>
      <c r="AG232" s="1037">
        <v>9</v>
      </c>
      <c r="AH232" s="1037">
        <v>8</v>
      </c>
      <c r="AI232" s="1037">
        <v>9</v>
      </c>
      <c r="AJ232" s="419">
        <f t="shared" si="643"/>
        <v>10</v>
      </c>
      <c r="AK232" s="1132">
        <v>36</v>
      </c>
      <c r="AL232" s="419"/>
      <c r="AM232" s="419"/>
      <c r="AN232" s="419"/>
      <c r="AO232" s="419">
        <f t="shared" si="644"/>
        <v>0</v>
      </c>
      <c r="AP232" s="1131"/>
      <c r="AQ232" s="419"/>
      <c r="AR232" s="419"/>
      <c r="AS232" s="419"/>
      <c r="AT232" s="419">
        <f t="shared" si="645"/>
        <v>0</v>
      </c>
      <c r="AU232" s="1131"/>
      <c r="AV232" s="419"/>
      <c r="AW232" s="419"/>
      <c r="AX232" s="419"/>
      <c r="AY232" s="419">
        <f t="shared" si="646"/>
        <v>0</v>
      </c>
      <c r="AZ232" s="1131"/>
      <c r="BA232" s="419"/>
      <c r="BB232" s="419"/>
      <c r="BC232" s="419"/>
      <c r="BD232" s="419">
        <f t="shared" si="647"/>
        <v>0</v>
      </c>
      <c r="BE232" s="1131"/>
      <c r="BF232" s="419"/>
      <c r="BG232" s="419"/>
      <c r="BH232" s="464"/>
      <c r="BI232" s="171"/>
      <c r="BJ232" s="1133"/>
      <c r="BK232" s="171"/>
      <c r="BL232" s="171"/>
      <c r="BM232" s="171"/>
      <c r="BN232" s="171"/>
      <c r="BO232" s="1133"/>
      <c r="BP232" s="1131"/>
      <c r="BQ232" s="1131"/>
      <c r="BR232" s="1133"/>
      <c r="BS232" s="119"/>
    </row>
    <row r="233" spans="1:71" s="680" customFormat="1" ht="15" hidden="1" outlineLevel="1">
      <c r="A233" s="118" t="s">
        <v>185</v>
      </c>
      <c r="B233" s="420"/>
      <c r="C233" s="1132">
        <v>187</v>
      </c>
      <c r="D233" s="1132">
        <v>231</v>
      </c>
      <c r="E233" s="1132">
        <v>202</v>
      </c>
      <c r="F233" s="1132">
        <v>282</v>
      </c>
      <c r="G233" s="1132">
        <v>167</v>
      </c>
      <c r="H233" s="1037">
        <v>35</v>
      </c>
      <c r="I233" s="1037">
        <v>41</v>
      </c>
      <c r="J233" s="1037">
        <v>46</v>
      </c>
      <c r="K233" s="419">
        <f t="shared" si="638"/>
        <v>71</v>
      </c>
      <c r="L233" s="1132">
        <v>193</v>
      </c>
      <c r="M233" s="1037">
        <v>41</v>
      </c>
      <c r="N233" s="1037">
        <v>66</v>
      </c>
      <c r="O233" s="1037">
        <v>49</v>
      </c>
      <c r="P233" s="419">
        <f t="shared" si="639"/>
        <v>23</v>
      </c>
      <c r="Q233" s="1132">
        <v>179</v>
      </c>
      <c r="R233" s="1037">
        <v>35</v>
      </c>
      <c r="S233" s="1037">
        <v>42</v>
      </c>
      <c r="T233" s="1037">
        <v>54</v>
      </c>
      <c r="U233" s="419">
        <f t="shared" si="640"/>
        <v>55</v>
      </c>
      <c r="V233" s="1132">
        <v>186</v>
      </c>
      <c r="W233" s="1037">
        <v>53</v>
      </c>
      <c r="X233" s="1037">
        <v>48</v>
      </c>
      <c r="Y233" s="1037">
        <v>55</v>
      </c>
      <c r="Z233" s="419">
        <f t="shared" si="641"/>
        <v>17</v>
      </c>
      <c r="AA233" s="1132">
        <v>173</v>
      </c>
      <c r="AB233" s="1037">
        <v>82</v>
      </c>
      <c r="AC233" s="1037">
        <v>50</v>
      </c>
      <c r="AD233" s="1037">
        <v>71</v>
      </c>
      <c r="AE233" s="419">
        <f t="shared" si="642"/>
        <v>58</v>
      </c>
      <c r="AF233" s="1132">
        <v>261</v>
      </c>
      <c r="AG233" s="1037">
        <v>28</v>
      </c>
      <c r="AH233" s="1037">
        <v>33</v>
      </c>
      <c r="AI233" s="1037">
        <v>120</v>
      </c>
      <c r="AJ233" s="419">
        <f t="shared" si="643"/>
        <v>72</v>
      </c>
      <c r="AK233" s="1132">
        <v>253</v>
      </c>
      <c r="AL233" s="419"/>
      <c r="AM233" s="419"/>
      <c r="AN233" s="419"/>
      <c r="AO233" s="419">
        <f t="shared" si="644"/>
        <v>0</v>
      </c>
      <c r="AP233" s="1131"/>
      <c r="AQ233" s="419"/>
      <c r="AR233" s="419"/>
      <c r="AS233" s="419"/>
      <c r="AT233" s="419">
        <f t="shared" si="645"/>
        <v>0</v>
      </c>
      <c r="AU233" s="1131"/>
      <c r="AV233" s="419"/>
      <c r="AW233" s="419"/>
      <c r="AX233" s="419"/>
      <c r="AY233" s="419">
        <f t="shared" si="646"/>
        <v>0</v>
      </c>
      <c r="AZ233" s="1131"/>
      <c r="BA233" s="419"/>
      <c r="BB233" s="419"/>
      <c r="BC233" s="419"/>
      <c r="BD233" s="419">
        <f t="shared" si="647"/>
        <v>0</v>
      </c>
      <c r="BE233" s="1131"/>
      <c r="BF233" s="419"/>
      <c r="BG233" s="419"/>
      <c r="BH233" s="464"/>
      <c r="BI233" s="171"/>
      <c r="BJ233" s="1133"/>
      <c r="BK233" s="171"/>
      <c r="BL233" s="171"/>
      <c r="BM233" s="171"/>
      <c r="BN233" s="171"/>
      <c r="BO233" s="1133"/>
      <c r="BP233" s="1131"/>
      <c r="BQ233" s="1131"/>
      <c r="BR233" s="1133"/>
      <c r="BS233" s="119"/>
    </row>
    <row r="234" spans="1:71" s="680" customFormat="1" ht="15" hidden="1" outlineLevel="1">
      <c r="A234" s="118" t="s">
        <v>186</v>
      </c>
      <c r="B234" s="420"/>
      <c r="C234" s="1132">
        <v>67</v>
      </c>
      <c r="D234" s="1132">
        <v>78</v>
      </c>
      <c r="E234" s="1132">
        <v>85</v>
      </c>
      <c r="F234" s="1132">
        <v>75</v>
      </c>
      <c r="G234" s="1132">
        <v>71</v>
      </c>
      <c r="H234" s="1037">
        <v>18</v>
      </c>
      <c r="I234" s="1037">
        <v>17</v>
      </c>
      <c r="J234" s="1037">
        <v>18</v>
      </c>
      <c r="K234" s="419">
        <f t="shared" si="638"/>
        <v>20</v>
      </c>
      <c r="L234" s="1132">
        <v>73</v>
      </c>
      <c r="M234" s="1037">
        <v>20</v>
      </c>
      <c r="N234" s="1037">
        <v>20</v>
      </c>
      <c r="O234" s="1037">
        <v>18</v>
      </c>
      <c r="P234" s="419">
        <f t="shared" si="639"/>
        <v>17</v>
      </c>
      <c r="Q234" s="1132">
        <v>75</v>
      </c>
      <c r="R234" s="1037">
        <v>18</v>
      </c>
      <c r="S234" s="1037">
        <v>19</v>
      </c>
      <c r="T234" s="1037">
        <v>19</v>
      </c>
      <c r="U234" s="419">
        <f t="shared" si="640"/>
        <v>21</v>
      </c>
      <c r="V234" s="1132">
        <v>77</v>
      </c>
      <c r="W234" s="1037">
        <v>21</v>
      </c>
      <c r="X234" s="1037">
        <v>23</v>
      </c>
      <c r="Y234" s="1037">
        <v>21</v>
      </c>
      <c r="Z234" s="419">
        <f t="shared" si="641"/>
        <v>20</v>
      </c>
      <c r="AA234" s="1132">
        <v>85</v>
      </c>
      <c r="AB234" s="1037">
        <v>15</v>
      </c>
      <c r="AC234" s="1037">
        <v>16</v>
      </c>
      <c r="AD234" s="1037">
        <v>15</v>
      </c>
      <c r="AE234" s="419">
        <f t="shared" si="642"/>
        <v>16</v>
      </c>
      <c r="AF234" s="1132">
        <v>62</v>
      </c>
      <c r="AG234" s="1037">
        <v>16</v>
      </c>
      <c r="AH234" s="1037">
        <v>17</v>
      </c>
      <c r="AI234" s="1037">
        <v>17</v>
      </c>
      <c r="AJ234" s="419">
        <f t="shared" si="643"/>
        <v>18</v>
      </c>
      <c r="AK234" s="1132">
        <v>68</v>
      </c>
      <c r="AL234" s="1037">
        <v>17</v>
      </c>
      <c r="AM234" s="1037">
        <v>23</v>
      </c>
      <c r="AN234" s="1037">
        <v>24</v>
      </c>
      <c r="AO234" s="419">
        <f t="shared" si="644"/>
        <v>24</v>
      </c>
      <c r="AP234" s="1132">
        <v>88</v>
      </c>
      <c r="AQ234" s="1037">
        <v>24</v>
      </c>
      <c r="AR234" s="1037">
        <v>23</v>
      </c>
      <c r="AS234" s="1037">
        <v>24</v>
      </c>
      <c r="AT234" s="419">
        <f t="shared" si="645"/>
        <v>23</v>
      </c>
      <c r="AU234" s="1132">
        <v>94</v>
      </c>
      <c r="AV234" s="1037">
        <v>23</v>
      </c>
      <c r="AW234" s="1037">
        <v>23</v>
      </c>
      <c r="AX234" s="1037">
        <v>19</v>
      </c>
      <c r="AY234" s="419">
        <f t="shared" si="646"/>
        <v>20</v>
      </c>
      <c r="AZ234" s="1132">
        <v>85</v>
      </c>
      <c r="BA234" s="1037">
        <v>19</v>
      </c>
      <c r="BB234" s="1037">
        <v>19</v>
      </c>
      <c r="BC234" s="1037">
        <v>19</v>
      </c>
      <c r="BD234" s="419">
        <f t="shared" si="647"/>
        <v>19</v>
      </c>
      <c r="BE234" s="1132">
        <v>76</v>
      </c>
      <c r="BF234" s="1037">
        <v>19</v>
      </c>
      <c r="BG234" s="1037">
        <v>19</v>
      </c>
      <c r="BH234" s="1038">
        <v>19</v>
      </c>
      <c r="BI234" s="171"/>
      <c r="BJ234" s="1133"/>
      <c r="BK234" s="171"/>
      <c r="BL234" s="171"/>
      <c r="BM234" s="171"/>
      <c r="BN234" s="171"/>
      <c r="BO234" s="1133"/>
      <c r="BP234" s="1131"/>
      <c r="BQ234" s="1131"/>
      <c r="BR234" s="1133"/>
      <c r="BS234" s="119"/>
    </row>
    <row r="235" spans="1:71" s="680" customFormat="1" ht="15" hidden="1" outlineLevel="1">
      <c r="A235" s="118" t="s">
        <v>187</v>
      </c>
      <c r="B235" s="420"/>
      <c r="C235" s="1131"/>
      <c r="D235" s="1132">
        <v>55</v>
      </c>
      <c r="E235" s="1132">
        <v>71</v>
      </c>
      <c r="F235" s="1132">
        <v>80</v>
      </c>
      <c r="G235" s="1132">
        <v>89</v>
      </c>
      <c r="H235" s="1037">
        <v>20</v>
      </c>
      <c r="I235" s="1037">
        <v>21</v>
      </c>
      <c r="J235" s="1037">
        <v>19</v>
      </c>
      <c r="K235" s="419">
        <f t="shared" si="638"/>
        <v>22</v>
      </c>
      <c r="L235" s="1132">
        <v>82</v>
      </c>
      <c r="M235" s="1037">
        <v>24</v>
      </c>
      <c r="N235" s="1037">
        <v>28</v>
      </c>
      <c r="O235" s="1037">
        <v>28</v>
      </c>
      <c r="P235" s="419">
        <f t="shared" si="639"/>
        <v>32</v>
      </c>
      <c r="Q235" s="1132">
        <v>112</v>
      </c>
      <c r="R235" s="1037">
        <v>35</v>
      </c>
      <c r="S235" s="1037">
        <v>36</v>
      </c>
      <c r="T235" s="1037">
        <v>38</v>
      </c>
      <c r="U235" s="419">
        <f t="shared" si="640"/>
        <v>42</v>
      </c>
      <c r="V235" s="1132">
        <v>151</v>
      </c>
      <c r="W235" s="1037">
        <v>41</v>
      </c>
      <c r="X235" s="1037">
        <v>51</v>
      </c>
      <c r="Y235" s="1037">
        <v>45</v>
      </c>
      <c r="Z235" s="419">
        <f t="shared" si="641"/>
        <v>44</v>
      </c>
      <c r="AA235" s="1132">
        <v>181</v>
      </c>
      <c r="AB235" s="1037">
        <v>48</v>
      </c>
      <c r="AC235" s="1037">
        <v>54</v>
      </c>
      <c r="AD235" s="1037">
        <v>52</v>
      </c>
      <c r="AE235" s="419">
        <f t="shared" si="642"/>
        <v>57</v>
      </c>
      <c r="AF235" s="1132">
        <v>211</v>
      </c>
      <c r="AG235" s="1037">
        <v>55</v>
      </c>
      <c r="AH235" s="1037">
        <v>59</v>
      </c>
      <c r="AI235" s="1037">
        <v>54</v>
      </c>
      <c r="AJ235" s="419">
        <f t="shared" si="643"/>
        <v>52</v>
      </c>
      <c r="AK235" s="1132">
        <v>220</v>
      </c>
      <c r="AL235" s="1037">
        <v>53</v>
      </c>
      <c r="AM235" s="1037">
        <v>42</v>
      </c>
      <c r="AN235" s="1037">
        <v>34</v>
      </c>
      <c r="AO235" s="419">
        <f t="shared" si="644"/>
        <v>38</v>
      </c>
      <c r="AP235" s="1132">
        <v>167</v>
      </c>
      <c r="AQ235" s="1037">
        <v>39</v>
      </c>
      <c r="AR235" s="1037">
        <v>39</v>
      </c>
      <c r="AS235" s="1037">
        <v>37</v>
      </c>
      <c r="AT235" s="419">
        <f t="shared" si="645"/>
        <v>40</v>
      </c>
      <c r="AU235" s="1132">
        <v>155</v>
      </c>
      <c r="AV235" s="1037">
        <v>39</v>
      </c>
      <c r="AW235" s="1037">
        <v>47</v>
      </c>
      <c r="AX235" s="1037">
        <v>62</v>
      </c>
      <c r="AY235" s="419">
        <f t="shared" si="646"/>
        <v>82</v>
      </c>
      <c r="AZ235" s="1132">
        <v>230</v>
      </c>
      <c r="BA235" s="1037">
        <v>95</v>
      </c>
      <c r="BB235" s="1037">
        <v>103</v>
      </c>
      <c r="BC235" s="1037">
        <v>105</v>
      </c>
      <c r="BD235" s="419">
        <f t="shared" si="647"/>
        <v>102</v>
      </c>
      <c r="BE235" s="1132">
        <v>405</v>
      </c>
      <c r="BF235" s="1037">
        <v>92</v>
      </c>
      <c r="BG235" s="1037">
        <v>90</v>
      </c>
      <c r="BH235" s="1038">
        <v>85</v>
      </c>
      <c r="BI235" s="171"/>
      <c r="BJ235" s="1133"/>
      <c r="BK235" s="171"/>
      <c r="BL235" s="171"/>
      <c r="BM235" s="171"/>
      <c r="BN235" s="171"/>
      <c r="BO235" s="1133"/>
      <c r="BP235" s="1131"/>
      <c r="BQ235" s="1131"/>
      <c r="BR235" s="1133"/>
      <c r="BS235" s="119"/>
    </row>
    <row r="236" spans="1:71" s="680" customFormat="1" ht="15" hidden="1" outlineLevel="1">
      <c r="A236" s="118" t="s">
        <v>188</v>
      </c>
      <c r="B236" s="420"/>
      <c r="C236" s="1132">
        <v>463</v>
      </c>
      <c r="D236" s="1132">
        <v>378</v>
      </c>
      <c r="E236" s="1132">
        <v>376</v>
      </c>
      <c r="F236" s="1132">
        <v>326</v>
      </c>
      <c r="G236" s="1132">
        <v>326</v>
      </c>
      <c r="H236" s="1037">
        <v>70</v>
      </c>
      <c r="I236" s="1037">
        <v>76</v>
      </c>
      <c r="J236" s="1037">
        <v>73</v>
      </c>
      <c r="K236" s="419">
        <f t="shared" si="638"/>
        <v>62</v>
      </c>
      <c r="L236" s="1132">
        <v>281</v>
      </c>
      <c r="M236" s="1037">
        <v>77</v>
      </c>
      <c r="N236" s="1037">
        <v>80</v>
      </c>
      <c r="O236" s="1037">
        <v>93</v>
      </c>
      <c r="P236" s="419">
        <f t="shared" si="639"/>
        <v>86</v>
      </c>
      <c r="Q236" s="1132">
        <v>336</v>
      </c>
      <c r="R236" s="1037">
        <v>79</v>
      </c>
      <c r="S236" s="1037">
        <v>81</v>
      </c>
      <c r="T236" s="1037">
        <v>98</v>
      </c>
      <c r="U236" s="419">
        <f t="shared" si="640"/>
        <v>95</v>
      </c>
      <c r="V236" s="1132">
        <v>353</v>
      </c>
      <c r="W236" s="1037">
        <v>85</v>
      </c>
      <c r="X236" s="1037">
        <v>88</v>
      </c>
      <c r="Y236" s="1037">
        <v>112</v>
      </c>
      <c r="Z236" s="419">
        <f t="shared" si="641"/>
        <v>137</v>
      </c>
      <c r="AA236" s="1132">
        <v>422</v>
      </c>
      <c r="AB236" s="1037">
        <v>85</v>
      </c>
      <c r="AC236" s="1037">
        <v>89</v>
      </c>
      <c r="AD236" s="1037">
        <v>98</v>
      </c>
      <c r="AE236" s="419">
        <f t="shared" si="642"/>
        <v>81</v>
      </c>
      <c r="AF236" s="1132">
        <v>353</v>
      </c>
      <c r="AG236" s="1040">
        <v>101</v>
      </c>
      <c r="AH236" s="1037">
        <v>96</v>
      </c>
      <c r="AI236" s="1037">
        <v>102</v>
      </c>
      <c r="AJ236" s="419">
        <f t="shared" si="643"/>
        <v>106</v>
      </c>
      <c r="AK236" s="1132">
        <v>405</v>
      </c>
      <c r="AL236" s="1040">
        <v>43</v>
      </c>
      <c r="AM236" s="1037">
        <v>60</v>
      </c>
      <c r="AN236" s="1037">
        <v>89</v>
      </c>
      <c r="AO236" s="419">
        <f t="shared" si="644"/>
        <v>87</v>
      </c>
      <c r="AP236" s="1132">
        <v>279</v>
      </c>
      <c r="AQ236" s="1040">
        <v>64</v>
      </c>
      <c r="AR236" s="1037">
        <v>77</v>
      </c>
      <c r="AS236" s="1037">
        <v>55</v>
      </c>
      <c r="AT236" s="419">
        <f t="shared" si="645"/>
        <v>68</v>
      </c>
      <c r="AU236" s="1132">
        <v>264</v>
      </c>
      <c r="AV236" s="1040">
        <v>58</v>
      </c>
      <c r="AW236" s="1037">
        <v>57</v>
      </c>
      <c r="AX236" s="1037">
        <v>72</v>
      </c>
      <c r="AY236" s="419">
        <f t="shared" si="646"/>
        <v>68</v>
      </c>
      <c r="AZ236" s="1132">
        <v>255</v>
      </c>
      <c r="BA236" s="1040">
        <v>69</v>
      </c>
      <c r="BB236" s="1037">
        <v>73</v>
      </c>
      <c r="BC236" s="1037">
        <v>85</v>
      </c>
      <c r="BD236" s="419">
        <f t="shared" si="647"/>
        <v>78</v>
      </c>
      <c r="BE236" s="1135">
        <v>305</v>
      </c>
      <c r="BF236" s="1040">
        <v>76</v>
      </c>
      <c r="BG236" s="1037">
        <v>77</v>
      </c>
      <c r="BH236" s="1038">
        <v>88</v>
      </c>
      <c r="BI236" s="171"/>
      <c r="BJ236" s="1133"/>
      <c r="BK236" s="171"/>
      <c r="BL236" s="171"/>
      <c r="BM236" s="171"/>
      <c r="BN236" s="171"/>
      <c r="BO236" s="1133"/>
      <c r="BP236" s="1131"/>
      <c r="BQ236" s="1131"/>
      <c r="BR236" s="1133"/>
      <c r="BS236" s="119"/>
    </row>
    <row r="237" spans="1:71" s="681" customFormat="1" ht="15" hidden="1" outlineLevel="1">
      <c r="A237" s="120" t="s">
        <v>189</v>
      </c>
      <c r="B237" s="507"/>
      <c r="C237" s="1139">
        <f t="shared" si="648" ref="C237:AK237">SUM(C229:C236)</f>
        <v>3508</v>
      </c>
      <c r="D237" s="1139">
        <f t="shared" si="648"/>
        <v>3808</v>
      </c>
      <c r="E237" s="1139">
        <f t="shared" si="648"/>
        <v>4192</v>
      </c>
      <c r="F237" s="1139">
        <f t="shared" si="648"/>
        <v>4420</v>
      </c>
      <c r="G237" s="1139">
        <f t="shared" si="648"/>
        <v>4403</v>
      </c>
      <c r="H237" s="596">
        <f t="shared" si="648"/>
        <v>1050</v>
      </c>
      <c r="I237" s="596">
        <f t="shared" si="648"/>
        <v>1262</v>
      </c>
      <c r="J237" s="596">
        <f t="shared" si="648"/>
        <v>1436</v>
      </c>
      <c r="K237" s="596">
        <f t="shared" si="648"/>
        <v>1359</v>
      </c>
      <c r="L237" s="1139">
        <f t="shared" si="648"/>
        <v>5107</v>
      </c>
      <c r="M237" s="596">
        <f t="shared" si="648"/>
        <v>1267</v>
      </c>
      <c r="N237" s="596">
        <f t="shared" si="648"/>
        <v>1317</v>
      </c>
      <c r="O237" s="596">
        <f t="shared" si="648"/>
        <v>1588</v>
      </c>
      <c r="P237" s="596">
        <f t="shared" si="648"/>
        <v>1408</v>
      </c>
      <c r="Q237" s="1139">
        <f t="shared" si="648"/>
        <v>5580</v>
      </c>
      <c r="R237" s="596">
        <f t="shared" si="648"/>
        <v>1319</v>
      </c>
      <c r="S237" s="596">
        <f t="shared" si="648"/>
        <v>1445</v>
      </c>
      <c r="T237" s="596">
        <f t="shared" si="648"/>
        <v>1527</v>
      </c>
      <c r="U237" s="596">
        <f t="shared" si="648"/>
        <v>1420</v>
      </c>
      <c r="V237" s="1139">
        <f t="shared" si="648"/>
        <v>5711</v>
      </c>
      <c r="W237" s="596">
        <f t="shared" si="648"/>
        <v>1353</v>
      </c>
      <c r="X237" s="596">
        <f t="shared" si="648"/>
        <v>1441</v>
      </c>
      <c r="Y237" s="596">
        <f t="shared" si="648"/>
        <v>1806</v>
      </c>
      <c r="Z237" s="596">
        <f t="shared" si="648"/>
        <v>1541</v>
      </c>
      <c r="AA237" s="1139">
        <f t="shared" si="648"/>
        <v>6141</v>
      </c>
      <c r="AB237" s="596">
        <f t="shared" si="648"/>
        <v>1445</v>
      </c>
      <c r="AC237" s="596">
        <f t="shared" si="648"/>
        <v>1573</v>
      </c>
      <c r="AD237" s="596">
        <f t="shared" si="648"/>
        <v>1764</v>
      </c>
      <c r="AE237" s="596">
        <f t="shared" si="648"/>
        <v>1729</v>
      </c>
      <c r="AF237" s="1139">
        <f t="shared" si="648"/>
        <v>6511</v>
      </c>
      <c r="AG237" s="596">
        <f t="shared" si="648"/>
        <v>1611</v>
      </c>
      <c r="AH237" s="596">
        <f t="shared" si="648"/>
        <v>1701</v>
      </c>
      <c r="AI237" s="596">
        <f t="shared" si="648"/>
        <v>1946</v>
      </c>
      <c r="AJ237" s="596">
        <f t="shared" si="648"/>
        <v>1871</v>
      </c>
      <c r="AK237" s="1139">
        <f t="shared" si="648"/>
        <v>7129</v>
      </c>
      <c r="AL237" s="596">
        <f t="shared" si="649" ref="AL237:AQ237">SUM(AL229:AL236)</f>
        <v>1240</v>
      </c>
      <c r="AM237" s="596">
        <f t="shared" si="649"/>
        <v>1305</v>
      </c>
      <c r="AN237" s="596">
        <f t="shared" si="649"/>
        <v>1516</v>
      </c>
      <c r="AO237" s="596">
        <f t="shared" si="649"/>
        <v>1369</v>
      </c>
      <c r="AP237" s="1139">
        <f t="shared" si="649"/>
        <v>5430</v>
      </c>
      <c r="AQ237" s="596">
        <f t="shared" si="649"/>
        <v>1174</v>
      </c>
      <c r="AR237" s="596">
        <f t="shared" si="650" ref="AR237:AW237">SUM(AR229:AR236)</f>
        <v>1243</v>
      </c>
      <c r="AS237" s="596">
        <f t="shared" si="650"/>
        <v>1487</v>
      </c>
      <c r="AT237" s="596">
        <f t="shared" si="650"/>
        <v>1313</v>
      </c>
      <c r="AU237" s="1139">
        <f t="shared" si="650"/>
        <v>5217</v>
      </c>
      <c r="AV237" s="596">
        <f t="shared" si="650"/>
        <v>1227</v>
      </c>
      <c r="AW237" s="596">
        <f t="shared" si="650"/>
        <v>1333</v>
      </c>
      <c r="AX237" s="596">
        <f t="shared" si="651" ref="AX237:AZ237">SUM(AX229:AX236)</f>
        <v>1774</v>
      </c>
      <c r="AY237" s="596">
        <f t="shared" si="651"/>
        <v>1583</v>
      </c>
      <c r="AZ237" s="1139">
        <f t="shared" si="651"/>
        <v>5917</v>
      </c>
      <c r="BA237" s="596">
        <f t="shared" si="652" ref="BA237:BE237">SUM(BA229:BA236)</f>
        <v>1476</v>
      </c>
      <c r="BB237" s="596">
        <f t="shared" si="652"/>
        <v>1585</v>
      </c>
      <c r="BC237" s="596">
        <f t="shared" si="652"/>
        <v>1945</v>
      </c>
      <c r="BD237" s="596">
        <f t="shared" si="652"/>
        <v>1748</v>
      </c>
      <c r="BE237" s="1147">
        <f t="shared" si="652"/>
        <v>6754</v>
      </c>
      <c r="BF237" s="596">
        <f>SUM(BF229:BF236)</f>
        <v>1602</v>
      </c>
      <c r="BG237" s="596">
        <f>SUM(BG229:BG236)</f>
        <v>1629</v>
      </c>
      <c r="BH237" s="901">
        <f>SUM(BH229:BH236)</f>
        <v>2140</v>
      </c>
      <c r="BI237" s="596"/>
      <c r="BJ237" s="1139"/>
      <c r="BK237" s="596"/>
      <c r="BL237" s="596"/>
      <c r="BM237" s="596"/>
      <c r="BN237" s="596"/>
      <c r="BO237" s="1139"/>
      <c r="BP237" s="1139"/>
      <c r="BQ237" s="1139"/>
      <c r="BR237" s="1139"/>
      <c r="BS237" s="124"/>
    </row>
    <row r="238" spans="1:71" s="681" customFormat="1" ht="15" hidden="1" outlineLevel="1">
      <c r="A238" s="123" t="s">
        <v>190</v>
      </c>
      <c r="B238" s="508"/>
      <c r="C238" s="1147">
        <f t="shared" si="653" ref="C238:AK238">C228-C237</f>
        <v>812</v>
      </c>
      <c r="D238" s="1147">
        <f t="shared" si="653"/>
        <v>689</v>
      </c>
      <c r="E238" s="1147">
        <f t="shared" si="653"/>
        <v>558</v>
      </c>
      <c r="F238" s="1147">
        <f t="shared" si="653"/>
        <v>537</v>
      </c>
      <c r="G238" s="1147">
        <f t="shared" si="653"/>
        <v>689</v>
      </c>
      <c r="H238" s="426">
        <f t="shared" si="653"/>
        <v>161</v>
      </c>
      <c r="I238" s="426">
        <f t="shared" si="653"/>
        <v>130</v>
      </c>
      <c r="J238" s="426">
        <f t="shared" si="653"/>
        <v>145</v>
      </c>
      <c r="K238" s="426">
        <f t="shared" si="653"/>
        <v>190</v>
      </c>
      <c r="L238" s="1147">
        <f t="shared" si="653"/>
        <v>626</v>
      </c>
      <c r="M238" s="426">
        <f t="shared" si="653"/>
        <v>30</v>
      </c>
      <c r="N238" s="426">
        <f t="shared" si="653"/>
        <v>226</v>
      </c>
      <c r="O238" s="426">
        <f t="shared" si="653"/>
        <v>99</v>
      </c>
      <c r="P238" s="426">
        <f t="shared" si="653"/>
        <v>210</v>
      </c>
      <c r="Q238" s="1147">
        <f t="shared" si="653"/>
        <v>565</v>
      </c>
      <c r="R238" s="426">
        <f t="shared" si="653"/>
        <v>156</v>
      </c>
      <c r="S238" s="426">
        <f t="shared" si="653"/>
        <v>136</v>
      </c>
      <c r="T238" s="426">
        <f t="shared" si="653"/>
        <v>178</v>
      </c>
      <c r="U238" s="426">
        <f t="shared" si="653"/>
        <v>317</v>
      </c>
      <c r="V238" s="1147">
        <f t="shared" si="653"/>
        <v>787</v>
      </c>
      <c r="W238" s="426">
        <f t="shared" si="653"/>
        <v>223</v>
      </c>
      <c r="X238" s="426">
        <f t="shared" si="653"/>
        <v>205</v>
      </c>
      <c r="Y238" s="426">
        <f t="shared" si="653"/>
        <v>29</v>
      </c>
      <c r="Z238" s="426">
        <f t="shared" si="653"/>
        <v>267</v>
      </c>
      <c r="AA238" s="1147">
        <f t="shared" si="653"/>
        <v>724</v>
      </c>
      <c r="AB238" s="426">
        <f t="shared" si="653"/>
        <v>174</v>
      </c>
      <c r="AC238" s="426">
        <f t="shared" si="653"/>
        <v>260</v>
      </c>
      <c r="AD238" s="426">
        <f t="shared" si="653"/>
        <v>244</v>
      </c>
      <c r="AE238" s="426">
        <f t="shared" si="653"/>
        <v>-39</v>
      </c>
      <c r="AF238" s="1147">
        <f t="shared" si="653"/>
        <v>639</v>
      </c>
      <c r="AG238" s="426">
        <f t="shared" si="653"/>
        <v>413</v>
      </c>
      <c r="AH238" s="426">
        <f t="shared" si="653"/>
        <v>259</v>
      </c>
      <c r="AI238" s="426">
        <f t="shared" si="653"/>
        <v>177</v>
      </c>
      <c r="AJ238" s="426">
        <f t="shared" si="653"/>
        <v>259</v>
      </c>
      <c r="AK238" s="1147">
        <f t="shared" si="653"/>
        <v>1108</v>
      </c>
      <c r="AL238" s="426">
        <f t="shared" si="654" ref="AL238:AQ238">AL228-AL237</f>
        <v>-185</v>
      </c>
      <c r="AM238" s="426">
        <f t="shared" si="654"/>
        <v>140</v>
      </c>
      <c r="AN238" s="426">
        <f t="shared" si="654"/>
        <v>40</v>
      </c>
      <c r="AO238" s="426">
        <f t="shared" si="654"/>
        <v>344</v>
      </c>
      <c r="AP238" s="1147">
        <f t="shared" si="654"/>
        <v>339</v>
      </c>
      <c r="AQ238" s="426">
        <f t="shared" si="654"/>
        <v>335</v>
      </c>
      <c r="AR238" s="426">
        <f t="shared" si="655" ref="AR238:AW238">AR228-AR237</f>
        <v>288</v>
      </c>
      <c r="AS238" s="426">
        <f t="shared" si="655"/>
        <v>267</v>
      </c>
      <c r="AT238" s="426">
        <f t="shared" si="655"/>
        <v>445</v>
      </c>
      <c r="AU238" s="1147">
        <f t="shared" si="655"/>
        <v>1335</v>
      </c>
      <c r="AV238" s="426">
        <f t="shared" si="655"/>
        <v>361</v>
      </c>
      <c r="AW238" s="426">
        <f t="shared" si="655"/>
        <v>206</v>
      </c>
      <c r="AX238" s="426">
        <f t="shared" si="656" ref="AX238:AZ238">AX228-AX237</f>
        <v>210</v>
      </c>
      <c r="AY238" s="426">
        <f t="shared" si="656"/>
        <v>346</v>
      </c>
      <c r="AZ238" s="1147">
        <f t="shared" si="656"/>
        <v>1123</v>
      </c>
      <c r="BA238" s="426">
        <f t="shared" si="657" ref="BA238:BE238">BA228-BA237</f>
        <v>264</v>
      </c>
      <c r="BB238" s="426">
        <f t="shared" si="657"/>
        <v>255</v>
      </c>
      <c r="BC238" s="426">
        <f t="shared" si="657"/>
        <v>219</v>
      </c>
      <c r="BD238" s="426">
        <f t="shared" si="657"/>
        <v>335</v>
      </c>
      <c r="BE238" s="1147">
        <f t="shared" si="657"/>
        <v>1073</v>
      </c>
      <c r="BF238" s="426">
        <f>BF228-BF237</f>
        <v>304</v>
      </c>
      <c r="BG238" s="426">
        <f>BG228-BG237</f>
        <v>271</v>
      </c>
      <c r="BH238" s="487">
        <f>BH228-BH237</f>
        <v>229</v>
      </c>
      <c r="BI238" s="159"/>
      <c r="BJ238" s="1148"/>
      <c r="BK238" s="159"/>
      <c r="BL238" s="159"/>
      <c r="BM238" s="159"/>
      <c r="BN238" s="159"/>
      <c r="BO238" s="1148"/>
      <c r="BP238" s="1147"/>
      <c r="BQ238" s="1147"/>
      <c r="BR238" s="1148"/>
      <c r="BS238" s="124"/>
    </row>
    <row r="239" spans="1:71" s="680" customFormat="1" ht="15" hidden="1" outlineLevel="1">
      <c r="A239" s="118" t="s">
        <v>191</v>
      </c>
      <c r="B239" s="420"/>
      <c r="C239" s="1132">
        <v>282</v>
      </c>
      <c r="D239" s="1132">
        <v>266</v>
      </c>
      <c r="E239" s="1132">
        <v>239</v>
      </c>
      <c r="F239" s="1132">
        <v>135</v>
      </c>
      <c r="G239" s="1132">
        <v>236</v>
      </c>
      <c r="H239" s="1037">
        <v>54</v>
      </c>
      <c r="I239" s="1037">
        <v>47</v>
      </c>
      <c r="J239" s="1037">
        <v>54</v>
      </c>
      <c r="K239" s="419">
        <f>L239-SUM(H239,I239,J239)</f>
        <v>65</v>
      </c>
      <c r="L239" s="1132">
        <v>220</v>
      </c>
      <c r="M239" s="1037">
        <v>5</v>
      </c>
      <c r="N239" s="1037">
        <v>77</v>
      </c>
      <c r="O239" s="1037">
        <v>33</v>
      </c>
      <c r="P239" s="419">
        <f>Q239-SUM(M239,N239,O239)</f>
        <v>80</v>
      </c>
      <c r="Q239" s="1132">
        <v>195</v>
      </c>
      <c r="R239" s="1037">
        <v>52</v>
      </c>
      <c r="S239" s="1037">
        <v>73</v>
      </c>
      <c r="T239" s="1037">
        <v>65</v>
      </c>
      <c r="U239" s="419">
        <f>V239-SUM(R239,S239,T239)</f>
        <v>-71</v>
      </c>
      <c r="V239" s="1132">
        <v>119</v>
      </c>
      <c r="W239" s="1037">
        <v>68</v>
      </c>
      <c r="X239" s="1037">
        <v>60</v>
      </c>
      <c r="Y239" s="1037">
        <v>18</v>
      </c>
      <c r="Z239" s="419">
        <f>AA239-SUM(W239,X239,Y239)</f>
        <v>101</v>
      </c>
      <c r="AA239" s="1132">
        <v>247</v>
      </c>
      <c r="AB239" s="1037">
        <v>33</v>
      </c>
      <c r="AC239" s="1037">
        <v>52</v>
      </c>
      <c r="AD239" s="1037">
        <v>41</v>
      </c>
      <c r="AE239" s="419">
        <f>AF239-SUM(AB239,AC239,AD239)</f>
        <v>-4</v>
      </c>
      <c r="AF239" s="1132">
        <v>122</v>
      </c>
      <c r="AG239" s="1037">
        <v>87</v>
      </c>
      <c r="AH239" s="1037">
        <v>50</v>
      </c>
      <c r="AI239" s="1037">
        <v>34</v>
      </c>
      <c r="AJ239" s="419">
        <f>AK239-SUM(AG239,AH239,AI239)</f>
        <v>68</v>
      </c>
      <c r="AK239" s="1132">
        <v>239</v>
      </c>
      <c r="AL239" s="1037">
        <v>-41</v>
      </c>
      <c r="AM239" s="1037">
        <v>37</v>
      </c>
      <c r="AN239" s="1037">
        <v>-48</v>
      </c>
      <c r="AO239" s="419">
        <f>AP239-SUM(AL239,AM239,AN239)</f>
        <v>77</v>
      </c>
      <c r="AP239" s="1132">
        <v>25</v>
      </c>
      <c r="AQ239" s="1037">
        <v>68</v>
      </c>
      <c r="AR239" s="1037">
        <v>48</v>
      </c>
      <c r="AS239" s="1037">
        <v>48</v>
      </c>
      <c r="AT239" s="419">
        <f>AU239-SUM(AQ239,AR239,AS239)</f>
        <v>90</v>
      </c>
      <c r="AU239" s="1132">
        <v>254</v>
      </c>
      <c r="AV239" s="1037">
        <v>71</v>
      </c>
      <c r="AW239" s="1037">
        <v>39</v>
      </c>
      <c r="AX239" s="1037">
        <v>45</v>
      </c>
      <c r="AY239" s="419">
        <f>AZ239-SUM(AV239,AW239,AX239)</f>
        <v>70</v>
      </c>
      <c r="AZ239" s="1132">
        <v>225</v>
      </c>
      <c r="BA239" s="1037">
        <v>52</v>
      </c>
      <c r="BB239" s="1037">
        <v>55</v>
      </c>
      <c r="BC239" s="1037">
        <v>42</v>
      </c>
      <c r="BD239" s="419">
        <f>BE239-SUM(BA239,BB239,BC239)</f>
        <v>72</v>
      </c>
      <c r="BE239" s="1132">
        <v>221</v>
      </c>
      <c r="BF239" s="1037">
        <v>62</v>
      </c>
      <c r="BG239" s="1037">
        <v>62</v>
      </c>
      <c r="BH239" s="1038">
        <v>48</v>
      </c>
      <c r="BI239" s="171"/>
      <c r="BJ239" s="1133"/>
      <c r="BK239" s="171"/>
      <c r="BL239" s="171"/>
      <c r="BM239" s="171"/>
      <c r="BN239" s="171"/>
      <c r="BO239" s="1133"/>
      <c r="BP239" s="1131"/>
      <c r="BQ239" s="1131"/>
      <c r="BR239" s="1133"/>
      <c r="BS239" s="119"/>
    </row>
    <row r="240" spans="1:71" s="681" customFormat="1" ht="15" hidden="1" outlineLevel="1">
      <c r="A240" s="120" t="s">
        <v>523</v>
      </c>
      <c r="B240" s="507"/>
      <c r="C240" s="1139">
        <f t="shared" si="658" ref="C240:AP240">C238-C239</f>
        <v>530</v>
      </c>
      <c r="D240" s="1139">
        <f t="shared" si="658"/>
        <v>423</v>
      </c>
      <c r="E240" s="1139">
        <f t="shared" si="658"/>
        <v>319</v>
      </c>
      <c r="F240" s="1139">
        <f t="shared" si="658"/>
        <v>402</v>
      </c>
      <c r="G240" s="1139">
        <f t="shared" si="658"/>
        <v>453</v>
      </c>
      <c r="H240" s="596">
        <f t="shared" si="658"/>
        <v>107</v>
      </c>
      <c r="I240" s="596">
        <f t="shared" si="658"/>
        <v>83</v>
      </c>
      <c r="J240" s="596">
        <f t="shared" si="658"/>
        <v>91</v>
      </c>
      <c r="K240" s="596">
        <f t="shared" si="658"/>
        <v>125</v>
      </c>
      <c r="L240" s="1139">
        <f t="shared" si="658"/>
        <v>406</v>
      </c>
      <c r="M240" s="596">
        <f t="shared" si="658"/>
        <v>25</v>
      </c>
      <c r="N240" s="596">
        <f t="shared" si="658"/>
        <v>149</v>
      </c>
      <c r="O240" s="596">
        <f t="shared" si="658"/>
        <v>66</v>
      </c>
      <c r="P240" s="596">
        <f t="shared" si="658"/>
        <v>130</v>
      </c>
      <c r="Q240" s="1139">
        <f t="shared" si="658"/>
        <v>370</v>
      </c>
      <c r="R240" s="596">
        <f t="shared" si="658"/>
        <v>104</v>
      </c>
      <c r="S240" s="596">
        <f t="shared" si="658"/>
        <v>63</v>
      </c>
      <c r="T240" s="596">
        <f t="shared" si="658"/>
        <v>113</v>
      </c>
      <c r="U240" s="596">
        <f t="shared" si="658"/>
        <v>388</v>
      </c>
      <c r="V240" s="1139">
        <f t="shared" si="658"/>
        <v>668</v>
      </c>
      <c r="W240" s="596">
        <f t="shared" si="658"/>
        <v>155</v>
      </c>
      <c r="X240" s="596">
        <f t="shared" si="658"/>
        <v>145</v>
      </c>
      <c r="Y240" s="596">
        <f t="shared" si="658"/>
        <v>11</v>
      </c>
      <c r="Z240" s="596">
        <f t="shared" si="658"/>
        <v>166</v>
      </c>
      <c r="AA240" s="1139">
        <f t="shared" si="658"/>
        <v>477</v>
      </c>
      <c r="AB240" s="596">
        <f t="shared" si="658"/>
        <v>141</v>
      </c>
      <c r="AC240" s="596">
        <f t="shared" si="658"/>
        <v>208</v>
      </c>
      <c r="AD240" s="596">
        <f t="shared" si="658"/>
        <v>203</v>
      </c>
      <c r="AE240" s="596">
        <f t="shared" si="658"/>
        <v>-35</v>
      </c>
      <c r="AF240" s="1139">
        <f t="shared" si="658"/>
        <v>517</v>
      </c>
      <c r="AG240" s="596">
        <f t="shared" si="658"/>
        <v>326</v>
      </c>
      <c r="AH240" s="596">
        <f t="shared" si="658"/>
        <v>209</v>
      </c>
      <c r="AI240" s="596">
        <f t="shared" si="658"/>
        <v>143</v>
      </c>
      <c r="AJ240" s="596">
        <f t="shared" si="658"/>
        <v>191</v>
      </c>
      <c r="AK240" s="1139">
        <f t="shared" si="658"/>
        <v>869</v>
      </c>
      <c r="AL240" s="596">
        <f t="shared" si="658"/>
        <v>-144</v>
      </c>
      <c r="AM240" s="596">
        <f t="shared" si="658"/>
        <v>103</v>
      </c>
      <c r="AN240" s="596">
        <f t="shared" si="658"/>
        <v>88</v>
      </c>
      <c r="AO240" s="596">
        <f t="shared" si="658"/>
        <v>267</v>
      </c>
      <c r="AP240" s="1139">
        <f t="shared" si="658"/>
        <v>314</v>
      </c>
      <c r="AQ240" s="596">
        <f t="shared" si="659" ref="AQ240:AV240">AQ238-AQ239</f>
        <v>267</v>
      </c>
      <c r="AR240" s="596">
        <f t="shared" si="659"/>
        <v>240</v>
      </c>
      <c r="AS240" s="596">
        <f t="shared" si="659"/>
        <v>219</v>
      </c>
      <c r="AT240" s="596">
        <f t="shared" si="659"/>
        <v>355</v>
      </c>
      <c r="AU240" s="1139">
        <f t="shared" si="659"/>
        <v>1081</v>
      </c>
      <c r="AV240" s="596">
        <f t="shared" si="659"/>
        <v>290</v>
      </c>
      <c r="AW240" s="596">
        <f t="shared" si="660" ref="AW240:BB240">AW238-AW239</f>
        <v>167</v>
      </c>
      <c r="AX240" s="596">
        <f t="shared" si="660"/>
        <v>165</v>
      </c>
      <c r="AY240" s="596">
        <f t="shared" si="660"/>
        <v>276</v>
      </c>
      <c r="AZ240" s="1139">
        <f t="shared" si="660"/>
        <v>898</v>
      </c>
      <c r="BA240" s="596">
        <f t="shared" si="660"/>
        <v>212</v>
      </c>
      <c r="BB240" s="596">
        <f t="shared" si="660"/>
        <v>200</v>
      </c>
      <c r="BC240" s="596">
        <f t="shared" si="661" ref="BC240:BH240">BC238-BC239</f>
        <v>177</v>
      </c>
      <c r="BD240" s="596">
        <f t="shared" si="661"/>
        <v>263</v>
      </c>
      <c r="BE240" s="1139">
        <f t="shared" si="661"/>
        <v>852</v>
      </c>
      <c r="BF240" s="596">
        <f t="shared" si="661"/>
        <v>242</v>
      </c>
      <c r="BG240" s="596">
        <f t="shared" si="661"/>
        <v>209</v>
      </c>
      <c r="BH240" s="901">
        <f t="shared" si="661"/>
        <v>181</v>
      </c>
      <c r="BI240" s="596"/>
      <c r="BJ240" s="1139"/>
      <c r="BK240" s="596"/>
      <c r="BL240" s="596"/>
      <c r="BM240" s="596"/>
      <c r="BN240" s="596"/>
      <c r="BO240" s="1139"/>
      <c r="BP240" s="1139"/>
      <c r="BQ240" s="1139"/>
      <c r="BR240" s="1139"/>
      <c r="BS240" s="124"/>
    </row>
    <row r="241" spans="1:71" s="680" customFormat="1" ht="15" hidden="1" outlineLevel="1">
      <c r="A241" s="362" t="s">
        <v>524</v>
      </c>
      <c r="B241" s="598"/>
      <c r="C241" s="1134"/>
      <c r="D241" s="1134"/>
      <c r="E241" s="1134"/>
      <c r="F241" s="1134"/>
      <c r="G241" s="1134"/>
      <c r="H241" s="363"/>
      <c r="I241" s="363"/>
      <c r="J241" s="363"/>
      <c r="K241" s="363">
        <f>L241-SUM(H241,I241,J241)</f>
        <v>0</v>
      </c>
      <c r="L241" s="1134"/>
      <c r="M241" s="363"/>
      <c r="N241" s="363"/>
      <c r="O241" s="363"/>
      <c r="P241" s="363">
        <f>Q241-SUM(M241,N241,O241)</f>
        <v>0</v>
      </c>
      <c r="Q241" s="1134"/>
      <c r="R241" s="363"/>
      <c r="S241" s="363"/>
      <c r="T241" s="363"/>
      <c r="U241" s="363">
        <f>V241-SUM(R241,S241,T241)</f>
        <v>0</v>
      </c>
      <c r="V241" s="1134"/>
      <c r="W241" s="363"/>
      <c r="X241" s="363"/>
      <c r="Y241" s="363"/>
      <c r="Z241" s="363">
        <f>AA241-SUM(W241,X241,Y241)</f>
        <v>0</v>
      </c>
      <c r="AA241" s="1134"/>
      <c r="AB241" s="363"/>
      <c r="AC241" s="363"/>
      <c r="AD241" s="363"/>
      <c r="AE241" s="363">
        <f>AF241-SUM(AB241,AC241,AD241)</f>
        <v>0</v>
      </c>
      <c r="AF241" s="1134"/>
      <c r="AG241" s="363"/>
      <c r="AH241" s="363"/>
      <c r="AI241" s="363"/>
      <c r="AJ241" s="363">
        <f>AK241-SUM(AG241,AH241,AI241)</f>
        <v>0</v>
      </c>
      <c r="AK241" s="1134"/>
      <c r="AL241" s="1040">
        <v>-160</v>
      </c>
      <c r="AM241" s="1040">
        <v>64</v>
      </c>
      <c r="AN241" s="1040">
        <v>76</v>
      </c>
      <c r="AO241" s="363">
        <f>AP241-SUM(AL241,AM241,AN241)</f>
        <v>427</v>
      </c>
      <c r="AP241" s="1135">
        <v>407</v>
      </c>
      <c r="AQ241" s="1040">
        <v>152</v>
      </c>
      <c r="AR241" s="1040">
        <v>762</v>
      </c>
      <c r="AS241" s="1040">
        <v>0</v>
      </c>
      <c r="AT241" s="363">
        <f>AU241-SUM(AQ241,AR241,AS241)</f>
        <v>0</v>
      </c>
      <c r="AU241" s="1135">
        <v>914</v>
      </c>
      <c r="AV241" s="363"/>
      <c r="AW241" s="1040">
        <v>0</v>
      </c>
      <c r="AX241" s="1040">
        <v>0</v>
      </c>
      <c r="AY241" s="363">
        <f>AZ241-SUM(AV241,AW241,AX241)</f>
        <v>0</v>
      </c>
      <c r="AZ241" s="1135">
        <v>0</v>
      </c>
      <c r="BA241" s="363"/>
      <c r="BB241" s="363"/>
      <c r="BC241" s="363"/>
      <c r="BD241" s="363">
        <f>BE241-SUM(BA241,BB241,BC241)</f>
        <v>0</v>
      </c>
      <c r="BE241" s="1135">
        <v>0</v>
      </c>
      <c r="BF241" s="363"/>
      <c r="BG241" s="363"/>
      <c r="BH241" s="773"/>
      <c r="BI241" s="363"/>
      <c r="BJ241" s="1134"/>
      <c r="BK241" s="363"/>
      <c r="BL241" s="363"/>
      <c r="BM241" s="363"/>
      <c r="BN241" s="363"/>
      <c r="BO241" s="1134"/>
      <c r="BP241" s="1134"/>
      <c r="BQ241" s="1134"/>
      <c r="BR241" s="1134"/>
      <c r="BS241" s="119"/>
    </row>
    <row r="242" spans="1:71" s="681" customFormat="1" ht="15" hidden="1" outlineLevel="1">
      <c r="A242" s="120" t="s">
        <v>192</v>
      </c>
      <c r="B242" s="507"/>
      <c r="C242" s="1139">
        <f t="shared" si="662" ref="C242:AP242">+C240+C241</f>
        <v>530</v>
      </c>
      <c r="D242" s="1139">
        <f t="shared" si="662"/>
        <v>423</v>
      </c>
      <c r="E242" s="1139">
        <f t="shared" si="662"/>
        <v>319</v>
      </c>
      <c r="F242" s="1139">
        <f t="shared" si="662"/>
        <v>402</v>
      </c>
      <c r="G242" s="1139">
        <f t="shared" si="662"/>
        <v>453</v>
      </c>
      <c r="H242" s="596">
        <f t="shared" si="662"/>
        <v>107</v>
      </c>
      <c r="I242" s="596">
        <f t="shared" si="662"/>
        <v>83</v>
      </c>
      <c r="J242" s="596">
        <f t="shared" si="662"/>
        <v>91</v>
      </c>
      <c r="K242" s="596">
        <f t="shared" si="662"/>
        <v>125</v>
      </c>
      <c r="L242" s="1139">
        <f t="shared" si="662"/>
        <v>406</v>
      </c>
      <c r="M242" s="596">
        <f t="shared" si="662"/>
        <v>25</v>
      </c>
      <c r="N242" s="596">
        <f t="shared" si="662"/>
        <v>149</v>
      </c>
      <c r="O242" s="596">
        <f t="shared" si="662"/>
        <v>66</v>
      </c>
      <c r="P242" s="596">
        <f t="shared" si="662"/>
        <v>130</v>
      </c>
      <c r="Q242" s="1139">
        <f t="shared" si="662"/>
        <v>370</v>
      </c>
      <c r="R242" s="596">
        <f t="shared" si="662"/>
        <v>104</v>
      </c>
      <c r="S242" s="596">
        <f t="shared" si="662"/>
        <v>63</v>
      </c>
      <c r="T242" s="596">
        <f t="shared" si="662"/>
        <v>113</v>
      </c>
      <c r="U242" s="596">
        <f t="shared" si="662"/>
        <v>388</v>
      </c>
      <c r="V242" s="1139">
        <f t="shared" si="662"/>
        <v>668</v>
      </c>
      <c r="W242" s="596">
        <f t="shared" si="662"/>
        <v>155</v>
      </c>
      <c r="X242" s="596">
        <f t="shared" si="662"/>
        <v>145</v>
      </c>
      <c r="Y242" s="596">
        <f t="shared" si="662"/>
        <v>11</v>
      </c>
      <c r="Z242" s="596">
        <f t="shared" si="662"/>
        <v>166</v>
      </c>
      <c r="AA242" s="1139">
        <f t="shared" si="662"/>
        <v>477</v>
      </c>
      <c r="AB242" s="596">
        <f t="shared" si="662"/>
        <v>141</v>
      </c>
      <c r="AC242" s="596">
        <f t="shared" si="662"/>
        <v>208</v>
      </c>
      <c r="AD242" s="596">
        <f t="shared" si="662"/>
        <v>203</v>
      </c>
      <c r="AE242" s="596">
        <f t="shared" si="662"/>
        <v>-35</v>
      </c>
      <c r="AF242" s="1139">
        <f t="shared" si="662"/>
        <v>517</v>
      </c>
      <c r="AG242" s="596">
        <f t="shared" si="662"/>
        <v>326</v>
      </c>
      <c r="AH242" s="596">
        <f t="shared" si="662"/>
        <v>209</v>
      </c>
      <c r="AI242" s="596">
        <f t="shared" si="662"/>
        <v>143</v>
      </c>
      <c r="AJ242" s="596">
        <f t="shared" si="662"/>
        <v>191</v>
      </c>
      <c r="AK242" s="1139">
        <f t="shared" si="662"/>
        <v>869</v>
      </c>
      <c r="AL242" s="596">
        <f t="shared" si="662"/>
        <v>-304</v>
      </c>
      <c r="AM242" s="596">
        <f t="shared" si="662"/>
        <v>167</v>
      </c>
      <c r="AN242" s="596">
        <f t="shared" si="662"/>
        <v>164</v>
      </c>
      <c r="AO242" s="596">
        <f t="shared" si="662"/>
        <v>694</v>
      </c>
      <c r="AP242" s="1139">
        <f t="shared" si="662"/>
        <v>721</v>
      </c>
      <c r="AQ242" s="596">
        <f t="shared" si="663" ref="AQ242:AV242">+AQ240+AQ241</f>
        <v>419</v>
      </c>
      <c r="AR242" s="596">
        <f t="shared" si="663"/>
        <v>1002</v>
      </c>
      <c r="AS242" s="596">
        <f t="shared" si="663"/>
        <v>219</v>
      </c>
      <c r="AT242" s="596">
        <f t="shared" si="663"/>
        <v>355</v>
      </c>
      <c r="AU242" s="1139">
        <f t="shared" si="663"/>
        <v>1995</v>
      </c>
      <c r="AV242" s="596">
        <f t="shared" si="663"/>
        <v>290</v>
      </c>
      <c r="AW242" s="596">
        <f t="shared" si="664" ref="AW242:BB242">+AW240+AW241</f>
        <v>167</v>
      </c>
      <c r="AX242" s="596">
        <f t="shared" si="664"/>
        <v>165</v>
      </c>
      <c r="AY242" s="596">
        <f t="shared" si="664"/>
        <v>276</v>
      </c>
      <c r="AZ242" s="1139">
        <f t="shared" si="664"/>
        <v>898</v>
      </c>
      <c r="BA242" s="596">
        <f t="shared" si="664"/>
        <v>212</v>
      </c>
      <c r="BB242" s="596">
        <f t="shared" si="664"/>
        <v>200</v>
      </c>
      <c r="BC242" s="596">
        <f t="shared" si="665" ref="BC242:BH242">+BC240+BC241</f>
        <v>177</v>
      </c>
      <c r="BD242" s="596">
        <f t="shared" si="665"/>
        <v>263</v>
      </c>
      <c r="BE242" s="1147">
        <f t="shared" si="665"/>
        <v>852</v>
      </c>
      <c r="BF242" s="596">
        <f t="shared" si="665"/>
        <v>242</v>
      </c>
      <c r="BG242" s="596">
        <f t="shared" si="665"/>
        <v>209</v>
      </c>
      <c r="BH242" s="901">
        <f t="shared" si="665"/>
        <v>181</v>
      </c>
      <c r="BI242" s="596"/>
      <c r="BJ242" s="1139"/>
      <c r="BK242" s="596"/>
      <c r="BL242" s="596"/>
      <c r="BM242" s="596"/>
      <c r="BN242" s="596"/>
      <c r="BO242" s="1139"/>
      <c r="BP242" s="1139"/>
      <c r="BQ242" s="1139"/>
      <c r="BR242" s="1139"/>
      <c r="BS242" s="124"/>
    </row>
    <row r="243" spans="1:71" s="680" customFormat="1" ht="15" hidden="1" outlineLevel="1">
      <c r="A243" s="118" t="s">
        <v>193</v>
      </c>
      <c r="B243" s="420"/>
      <c r="C243" s="1132">
        <v>11</v>
      </c>
      <c r="D243" s="1132">
        <v>-56</v>
      </c>
      <c r="E243" s="1132">
        <v>-23</v>
      </c>
      <c r="F243" s="1132">
        <v>-86</v>
      </c>
      <c r="G243" s="1132">
        <v>-18</v>
      </c>
      <c r="H243" s="1037">
        <v>4</v>
      </c>
      <c r="I243" s="1037">
        <v>-23</v>
      </c>
      <c r="J243" s="1037">
        <v>-25</v>
      </c>
      <c r="K243" s="419">
        <f>L243-SUM(H243,I243,J243)</f>
        <v>-2</v>
      </c>
      <c r="L243" s="1132">
        <v>-46</v>
      </c>
      <c r="M243" s="1037">
        <v>6</v>
      </c>
      <c r="N243" s="1037">
        <v>8</v>
      </c>
      <c r="O243" s="1037">
        <v>3</v>
      </c>
      <c r="P243" s="419">
        <f>Q243-SUM(M243,N243,O243)</f>
        <v>1</v>
      </c>
      <c r="Q243" s="1132">
        <v>18</v>
      </c>
      <c r="R243" s="1037">
        <v>3</v>
      </c>
      <c r="S243" s="1037">
        <v>9</v>
      </c>
      <c r="T243" s="1037">
        <v>4</v>
      </c>
      <c r="U243" s="419">
        <f>V243-SUM(R243,S243,T243)</f>
        <v>3</v>
      </c>
      <c r="V243" s="1132">
        <v>19</v>
      </c>
      <c r="W243" s="1037">
        <v>2</v>
      </c>
      <c r="X243" s="1037">
        <v>0</v>
      </c>
      <c r="Y243" s="1037">
        <v>0</v>
      </c>
      <c r="Z243" s="419">
        <f>AA243-SUM(W243,X243,Y243)</f>
        <v>0</v>
      </c>
      <c r="AA243" s="1132">
        <v>2</v>
      </c>
      <c r="AB243" s="1037">
        <v>-4</v>
      </c>
      <c r="AC243" s="1037">
        <v>-2</v>
      </c>
      <c r="AD243" s="1037">
        <v>-1</v>
      </c>
      <c r="AE243" s="419">
        <f>AF243-SUM(AB243,AC243,AD243)</f>
        <v>-6</v>
      </c>
      <c r="AF243" s="1132">
        <v>-13</v>
      </c>
      <c r="AG243" s="1040">
        <v>-3</v>
      </c>
      <c r="AH243" s="1037">
        <v>-1</v>
      </c>
      <c r="AI243" s="1037">
        <v>-4</v>
      </c>
      <c r="AJ243" s="419">
        <f>AK243-SUM(AG243,AH243,AI243)</f>
        <v>-20</v>
      </c>
      <c r="AK243" s="1132">
        <v>-28</v>
      </c>
      <c r="AL243" s="1040">
        <v>-3</v>
      </c>
      <c r="AM243" s="1037">
        <v>-10</v>
      </c>
      <c r="AN243" s="1037">
        <v>0</v>
      </c>
      <c r="AO243" s="419">
        <f>AP243-SUM(AL243,AM243,AN243)</f>
        <v>2</v>
      </c>
      <c r="AP243" s="1132">
        <v>-11</v>
      </c>
      <c r="AQ243" s="1040">
        <v>0</v>
      </c>
      <c r="AR243" s="1037">
        <v>0</v>
      </c>
      <c r="AS243" s="1037">
        <v>0</v>
      </c>
      <c r="AT243" s="419">
        <f>AU243-SUM(AQ243,AR243,AS243)</f>
        <v>0</v>
      </c>
      <c r="AU243" s="1131"/>
      <c r="AV243" s="363"/>
      <c r="AW243" s="1037">
        <v>0</v>
      </c>
      <c r="AX243" s="1037">
        <v>0</v>
      </c>
      <c r="AY243" s="419">
        <f>AZ243-SUM(AV243,AW243,AX243)</f>
        <v>0</v>
      </c>
      <c r="AZ243" s="1131"/>
      <c r="BA243" s="363"/>
      <c r="BB243" s="419"/>
      <c r="BC243" s="419"/>
      <c r="BD243" s="419">
        <f>BE243-SUM(BA243,BB243,BC243)</f>
        <v>0</v>
      </c>
      <c r="BE243" s="1131"/>
      <c r="BF243" s="363"/>
      <c r="BG243" s="419"/>
      <c r="BH243" s="464"/>
      <c r="BI243" s="171"/>
      <c r="BJ243" s="1133"/>
      <c r="BK243" s="171"/>
      <c r="BL243" s="171"/>
      <c r="BM243" s="171"/>
      <c r="BN243" s="171"/>
      <c r="BO243" s="1133"/>
      <c r="BP243" s="1131"/>
      <c r="BQ243" s="1131"/>
      <c r="BR243" s="1133"/>
      <c r="BS243" s="119"/>
    </row>
    <row r="244" spans="1:71" s="681" customFormat="1" ht="15" hidden="1" outlineLevel="1">
      <c r="A244" s="120" t="s">
        <v>194</v>
      </c>
      <c r="B244" s="507"/>
      <c r="C244" s="1139">
        <f t="shared" si="666" ref="C244:AH244">C242-C243</f>
        <v>519</v>
      </c>
      <c r="D244" s="1139">
        <f t="shared" si="666"/>
        <v>479</v>
      </c>
      <c r="E244" s="1139">
        <f t="shared" si="666"/>
        <v>342</v>
      </c>
      <c r="F244" s="1139">
        <f t="shared" si="666"/>
        <v>488</v>
      </c>
      <c r="G244" s="1139">
        <f t="shared" si="666"/>
        <v>471</v>
      </c>
      <c r="H244" s="596">
        <f t="shared" si="666"/>
        <v>103</v>
      </c>
      <c r="I244" s="596">
        <f t="shared" si="666"/>
        <v>106</v>
      </c>
      <c r="J244" s="596">
        <f t="shared" si="666"/>
        <v>116</v>
      </c>
      <c r="K244" s="596">
        <f t="shared" si="666"/>
        <v>127</v>
      </c>
      <c r="L244" s="1139">
        <f t="shared" si="666"/>
        <v>452</v>
      </c>
      <c r="M244" s="596">
        <f t="shared" si="666"/>
        <v>19</v>
      </c>
      <c r="N244" s="596">
        <f t="shared" si="666"/>
        <v>141</v>
      </c>
      <c r="O244" s="596">
        <f t="shared" si="666"/>
        <v>63</v>
      </c>
      <c r="P244" s="596">
        <f t="shared" si="666"/>
        <v>129</v>
      </c>
      <c r="Q244" s="1139">
        <f t="shared" si="666"/>
        <v>352</v>
      </c>
      <c r="R244" s="596">
        <f t="shared" si="666"/>
        <v>101</v>
      </c>
      <c r="S244" s="596">
        <f t="shared" si="666"/>
        <v>54</v>
      </c>
      <c r="T244" s="596">
        <f t="shared" si="666"/>
        <v>109</v>
      </c>
      <c r="U244" s="596">
        <f t="shared" si="666"/>
        <v>385</v>
      </c>
      <c r="V244" s="1139">
        <f t="shared" si="666"/>
        <v>649</v>
      </c>
      <c r="W244" s="596">
        <f t="shared" si="666"/>
        <v>153</v>
      </c>
      <c r="X244" s="596">
        <f t="shared" si="666"/>
        <v>145</v>
      </c>
      <c r="Y244" s="596">
        <f t="shared" si="666"/>
        <v>11</v>
      </c>
      <c r="Z244" s="596">
        <f t="shared" si="666"/>
        <v>166</v>
      </c>
      <c r="AA244" s="1139">
        <f t="shared" si="666"/>
        <v>475</v>
      </c>
      <c r="AB244" s="596">
        <f t="shared" si="666"/>
        <v>145</v>
      </c>
      <c r="AC244" s="596">
        <f t="shared" si="666"/>
        <v>210</v>
      </c>
      <c r="AD244" s="596">
        <f t="shared" si="666"/>
        <v>204</v>
      </c>
      <c r="AE244" s="596">
        <f t="shared" si="666"/>
        <v>-29</v>
      </c>
      <c r="AF244" s="1139">
        <f t="shared" si="666"/>
        <v>530</v>
      </c>
      <c r="AG244" s="596">
        <f t="shared" si="666"/>
        <v>329</v>
      </c>
      <c r="AH244" s="596">
        <f t="shared" si="666"/>
        <v>210</v>
      </c>
      <c r="AI244" s="596">
        <f t="shared" si="667" ref="AI244:AQ244">AI242-AI243</f>
        <v>147</v>
      </c>
      <c r="AJ244" s="596">
        <f t="shared" si="667"/>
        <v>211</v>
      </c>
      <c r="AK244" s="1139">
        <f t="shared" si="667"/>
        <v>897</v>
      </c>
      <c r="AL244" s="596">
        <f t="shared" si="667"/>
        <v>-301</v>
      </c>
      <c r="AM244" s="596">
        <f t="shared" si="667"/>
        <v>177</v>
      </c>
      <c r="AN244" s="596">
        <f t="shared" si="667"/>
        <v>164</v>
      </c>
      <c r="AO244" s="596">
        <f t="shared" si="667"/>
        <v>692</v>
      </c>
      <c r="AP244" s="1139">
        <f t="shared" si="667"/>
        <v>732</v>
      </c>
      <c r="AQ244" s="596">
        <f t="shared" si="667"/>
        <v>419</v>
      </c>
      <c r="AR244" s="596">
        <f t="shared" si="668" ref="AR244:AW244">AR242-AR243</f>
        <v>1002</v>
      </c>
      <c r="AS244" s="596">
        <f t="shared" si="668"/>
        <v>219</v>
      </c>
      <c r="AT244" s="596">
        <f t="shared" si="668"/>
        <v>355</v>
      </c>
      <c r="AU244" s="1139">
        <f t="shared" si="668"/>
        <v>1995</v>
      </c>
      <c r="AV244" s="596">
        <f t="shared" si="668"/>
        <v>290</v>
      </c>
      <c r="AW244" s="596">
        <f t="shared" si="668"/>
        <v>167</v>
      </c>
      <c r="AX244" s="596">
        <f t="shared" si="669" ref="AX244:AZ244">AX242-AX243</f>
        <v>165</v>
      </c>
      <c r="AY244" s="596">
        <f t="shared" si="669"/>
        <v>276</v>
      </c>
      <c r="AZ244" s="1139">
        <f t="shared" si="669"/>
        <v>898</v>
      </c>
      <c r="BA244" s="596">
        <f t="shared" si="670" ref="BA244:BE244">BA242-BA243</f>
        <v>212</v>
      </c>
      <c r="BB244" s="596">
        <f t="shared" si="670"/>
        <v>200</v>
      </c>
      <c r="BC244" s="596">
        <f t="shared" si="670"/>
        <v>177</v>
      </c>
      <c r="BD244" s="596">
        <f t="shared" si="670"/>
        <v>263</v>
      </c>
      <c r="BE244" s="1139">
        <f t="shared" si="670"/>
        <v>852</v>
      </c>
      <c r="BF244" s="596">
        <f>BF242-BF243</f>
        <v>242</v>
      </c>
      <c r="BG244" s="596">
        <f>BG242-BG243</f>
        <v>209</v>
      </c>
      <c r="BH244" s="901">
        <f>BH242-BH243</f>
        <v>181</v>
      </c>
      <c r="BI244" s="596"/>
      <c r="BJ244" s="1139"/>
      <c r="BK244" s="596"/>
      <c r="BL244" s="596"/>
      <c r="BM244" s="596"/>
      <c r="BN244" s="596"/>
      <c r="BO244" s="1139"/>
      <c r="BP244" s="1139"/>
      <c r="BQ244" s="1139"/>
      <c r="BR244" s="1139"/>
      <c r="BS244" s="124"/>
    </row>
    <row r="245" spans="1:71" s="667" customFormat="1" ht="15" hidden="1" outlineLevel="1">
      <c r="A245" s="499"/>
      <c r="B245" s="500"/>
      <c r="C245" s="1161"/>
      <c r="D245" s="1161"/>
      <c r="E245" s="1161"/>
      <c r="F245" s="1161"/>
      <c r="G245" s="1161"/>
      <c r="H245" s="971"/>
      <c r="I245" s="971"/>
      <c r="J245" s="971"/>
      <c r="K245" s="971"/>
      <c r="L245" s="1161"/>
      <c r="M245" s="971"/>
      <c r="N245" s="971"/>
      <c r="O245" s="971"/>
      <c r="P245" s="971"/>
      <c r="Q245" s="1161"/>
      <c r="R245" s="971"/>
      <c r="S245" s="971"/>
      <c r="T245" s="971"/>
      <c r="U245" s="971"/>
      <c r="V245" s="1161"/>
      <c r="W245" s="971"/>
      <c r="X245" s="971"/>
      <c r="Y245" s="971"/>
      <c r="Z245" s="971"/>
      <c r="AA245" s="1161"/>
      <c r="AB245" s="971"/>
      <c r="AC245" s="971"/>
      <c r="AD245" s="971"/>
      <c r="AE245" s="971"/>
      <c r="AF245" s="1161"/>
      <c r="AG245" s="971"/>
      <c r="AH245" s="971"/>
      <c r="AI245" s="971"/>
      <c r="AJ245" s="971"/>
      <c r="AK245" s="1161"/>
      <c r="AL245" s="971"/>
      <c r="AM245" s="971"/>
      <c r="AN245" s="971"/>
      <c r="AO245" s="971"/>
      <c r="AP245" s="1161"/>
      <c r="AQ245" s="971"/>
      <c r="AR245" s="971"/>
      <c r="AS245" s="971"/>
      <c r="AT245" s="971"/>
      <c r="AU245" s="1161"/>
      <c r="AV245" s="971"/>
      <c r="AW245" s="971"/>
      <c r="AX245" s="971"/>
      <c r="AY245" s="971"/>
      <c r="AZ245" s="1161"/>
      <c r="BA245" s="971"/>
      <c r="BB245" s="971"/>
      <c r="BC245" s="971"/>
      <c r="BD245" s="971"/>
      <c r="BE245" s="1161"/>
      <c r="BF245" s="971"/>
      <c r="BG245" s="971"/>
      <c r="BH245" s="972"/>
      <c r="BI245" s="973"/>
      <c r="BJ245" s="1162"/>
      <c r="BK245" s="973"/>
      <c r="BL245" s="973"/>
      <c r="BM245" s="973"/>
      <c r="BN245" s="973"/>
      <c r="BO245" s="1162"/>
      <c r="BP245" s="1161"/>
      <c r="BQ245" s="1161"/>
      <c r="BR245" s="1162"/>
      <c r="BS245" s="664"/>
    </row>
    <row r="246" spans="1:71" s="673" customFormat="1" ht="15" hidden="1" outlineLevel="1">
      <c r="A246" s="142" t="s">
        <v>195</v>
      </c>
      <c r="B246" s="142"/>
      <c r="C246" s="279">
        <f t="shared" si="671" ref="C246:AH246">IF(ISBLANK(INDEX(MO_IS_FirstRow,0,COLUMN())),0,ROUND(C242-C461,6))</f>
        <v>0</v>
      </c>
      <c r="D246" s="279">
        <f t="shared" si="671"/>
        <v>0</v>
      </c>
      <c r="E246" s="279">
        <f t="shared" si="671"/>
        <v>0</v>
      </c>
      <c r="F246" s="279">
        <f t="shared" si="671"/>
        <v>0</v>
      </c>
      <c r="G246" s="279">
        <f t="shared" si="671"/>
        <v>0</v>
      </c>
      <c r="H246" s="279">
        <f t="shared" si="671"/>
        <v>0</v>
      </c>
      <c r="I246" s="279">
        <f t="shared" si="671"/>
        <v>0</v>
      </c>
      <c r="J246" s="279">
        <f t="shared" si="671"/>
        <v>0</v>
      </c>
      <c r="K246" s="279">
        <f t="shared" si="671"/>
        <v>0</v>
      </c>
      <c r="L246" s="279">
        <f t="shared" si="671"/>
        <v>0</v>
      </c>
      <c r="M246" s="279">
        <f t="shared" si="671"/>
        <v>0</v>
      </c>
      <c r="N246" s="279">
        <f t="shared" si="671"/>
        <v>0</v>
      </c>
      <c r="O246" s="279">
        <f t="shared" si="671"/>
        <v>0</v>
      </c>
      <c r="P246" s="279">
        <f t="shared" si="671"/>
        <v>0</v>
      </c>
      <c r="Q246" s="279">
        <f t="shared" si="671"/>
        <v>0</v>
      </c>
      <c r="R246" s="279">
        <f t="shared" si="671"/>
        <v>0</v>
      </c>
      <c r="S246" s="279">
        <f t="shared" si="671"/>
        <v>0</v>
      </c>
      <c r="T246" s="279">
        <f t="shared" si="671"/>
        <v>0</v>
      </c>
      <c r="U246" s="279">
        <f t="shared" si="671"/>
        <v>0</v>
      </c>
      <c r="V246" s="279">
        <f t="shared" si="671"/>
        <v>0</v>
      </c>
      <c r="W246" s="279">
        <f t="shared" si="671"/>
        <v>0</v>
      </c>
      <c r="X246" s="279">
        <f t="shared" si="671"/>
        <v>0</v>
      </c>
      <c r="Y246" s="279">
        <f t="shared" si="671"/>
        <v>0</v>
      </c>
      <c r="Z246" s="279">
        <f t="shared" si="671"/>
        <v>0</v>
      </c>
      <c r="AA246" s="279">
        <f t="shared" si="671"/>
        <v>0</v>
      </c>
      <c r="AB246" s="279">
        <f t="shared" si="671"/>
        <v>0</v>
      </c>
      <c r="AC246" s="279">
        <f t="shared" si="671"/>
        <v>0</v>
      </c>
      <c r="AD246" s="279">
        <f t="shared" si="671"/>
        <v>0</v>
      </c>
      <c r="AE246" s="279">
        <f t="shared" si="671"/>
        <v>0</v>
      </c>
      <c r="AF246" s="279">
        <f t="shared" si="671"/>
        <v>0</v>
      </c>
      <c r="AG246" s="279">
        <f t="shared" si="671"/>
        <v>0</v>
      </c>
      <c r="AH246" s="279">
        <f t="shared" si="671"/>
        <v>0</v>
      </c>
      <c r="AI246" s="279">
        <f t="shared" si="672" ref="AI246:AW246">IF(ISBLANK(INDEX(MO_IS_FirstRow,0,COLUMN())),0,ROUND(AI242-AI461,6))</f>
        <v>0</v>
      </c>
      <c r="AJ246" s="279">
        <f t="shared" si="672"/>
        <v>0</v>
      </c>
      <c r="AK246" s="279">
        <f t="shared" si="672"/>
        <v>0</v>
      </c>
      <c r="AL246" s="279">
        <f t="shared" si="672"/>
        <v>0</v>
      </c>
      <c r="AM246" s="279">
        <f t="shared" si="672"/>
        <v>0</v>
      </c>
      <c r="AN246" s="279">
        <f t="shared" si="672"/>
        <v>0</v>
      </c>
      <c r="AO246" s="279">
        <f t="shared" si="672"/>
        <v>0</v>
      </c>
      <c r="AP246" s="279">
        <f t="shared" si="672"/>
        <v>0</v>
      </c>
      <c r="AQ246" s="279">
        <f t="shared" si="672"/>
        <v>0</v>
      </c>
      <c r="AR246" s="279">
        <f t="shared" si="672"/>
        <v>0</v>
      </c>
      <c r="AS246" s="279">
        <f t="shared" si="672"/>
        <v>0</v>
      </c>
      <c r="AT246" s="279">
        <f t="shared" si="672"/>
        <v>0</v>
      </c>
      <c r="AU246" s="279">
        <f t="shared" si="672"/>
        <v>0</v>
      </c>
      <c r="AV246" s="279">
        <f t="shared" si="672"/>
        <v>0</v>
      </c>
      <c r="AW246" s="279">
        <f t="shared" si="672"/>
        <v>0</v>
      </c>
      <c r="AX246" s="279">
        <f t="shared" si="673" ref="AX246:AZ246">IF(ISBLANK(INDEX(MO_IS_FirstRow,0,COLUMN())),0,ROUND(AX242-AX461,6))</f>
        <v>0</v>
      </c>
      <c r="AY246" s="279">
        <f t="shared" si="673"/>
        <v>0</v>
      </c>
      <c r="AZ246" s="279">
        <f t="shared" si="673"/>
        <v>0</v>
      </c>
      <c r="BA246" s="279">
        <f t="shared" si="674" ref="BA246:BR246">IF(ISBLANK(INDEX(MO_IS_FirstRow,0,COLUMN())),0,ROUND(BA242-BA461,6))</f>
        <v>0</v>
      </c>
      <c r="BB246" s="279">
        <f t="shared" si="674"/>
        <v>0</v>
      </c>
      <c r="BC246" s="279">
        <f t="shared" si="674"/>
        <v>0</v>
      </c>
      <c r="BD246" s="279">
        <f t="shared" si="674"/>
        <v>0</v>
      </c>
      <c r="BE246" s="279">
        <f t="shared" si="674"/>
        <v>0</v>
      </c>
      <c r="BF246" s="279">
        <f>IF(ISBLANK(INDEX(MO_IS_FirstRow,0,COLUMN())),0,ROUND(BF242-BF461,6))</f>
        <v>0</v>
      </c>
      <c r="BG246" s="279">
        <f>IF(ISBLANK(INDEX(MO_IS_FirstRow,0,COLUMN())),0,ROUND(BG242-BG461,6))</f>
        <v>0</v>
      </c>
      <c r="BH246" s="378">
        <f>IF(ISBLANK(INDEX(MO_IS_FirstRow,0,COLUMN())),0,ROUND(BH242-BH461,6))</f>
        <v>0</v>
      </c>
      <c r="BI246" s="143">
        <f t="shared" si="674"/>
        <v>0</v>
      </c>
      <c r="BJ246" s="143">
        <f t="shared" si="674"/>
        <v>0</v>
      </c>
      <c r="BK246" s="143">
        <f t="shared" si="674"/>
        <v>0</v>
      </c>
      <c r="BL246" s="143">
        <f t="shared" si="674"/>
        <v>0</v>
      </c>
      <c r="BM246" s="143">
        <f t="shared" si="674"/>
        <v>0</v>
      </c>
      <c r="BN246" s="143">
        <f t="shared" si="674"/>
        <v>0</v>
      </c>
      <c r="BO246" s="143">
        <f t="shared" si="674"/>
        <v>0</v>
      </c>
      <c r="BP246" s="279">
        <f t="shared" si="674"/>
        <v>0</v>
      </c>
      <c r="BQ246" s="279">
        <f t="shared" si="674"/>
        <v>0</v>
      </c>
      <c r="BR246" s="143">
        <f t="shared" si="674"/>
        <v>0</v>
      </c>
      <c r="BS246" s="32"/>
    </row>
    <row r="247" spans="1:71" s="667" customFormat="1" ht="15" collapsed="1">
      <c r="A247" s="499"/>
      <c r="B247" s="500"/>
      <c r="C247" s="1161"/>
      <c r="D247" s="1161"/>
      <c r="E247" s="1161"/>
      <c r="F247" s="1161"/>
      <c r="G247" s="1161"/>
      <c r="H247" s="971"/>
      <c r="I247" s="971"/>
      <c r="J247" s="971"/>
      <c r="K247" s="971"/>
      <c r="L247" s="1161"/>
      <c r="M247" s="971"/>
      <c r="N247" s="971"/>
      <c r="O247" s="971"/>
      <c r="P247" s="971"/>
      <c r="Q247" s="1161"/>
      <c r="R247" s="971"/>
      <c r="S247" s="971"/>
      <c r="T247" s="971"/>
      <c r="U247" s="971"/>
      <c r="V247" s="1161"/>
      <c r="W247" s="971"/>
      <c r="X247" s="971"/>
      <c r="Y247" s="971"/>
      <c r="Z247" s="971"/>
      <c r="AA247" s="1161"/>
      <c r="AB247" s="971"/>
      <c r="AC247" s="971"/>
      <c r="AD247" s="971"/>
      <c r="AE247" s="971"/>
      <c r="AF247" s="1161"/>
      <c r="AG247" s="971"/>
      <c r="AH247" s="971"/>
      <c r="AI247" s="971"/>
      <c r="AJ247" s="971"/>
      <c r="AK247" s="1161"/>
      <c r="AL247" s="971"/>
      <c r="AM247" s="971"/>
      <c r="AN247" s="971"/>
      <c r="AO247" s="971"/>
      <c r="AP247" s="1161"/>
      <c r="AQ247" s="971"/>
      <c r="AR247" s="971"/>
      <c r="AS247" s="971"/>
      <c r="AT247" s="971"/>
      <c r="AU247" s="1161"/>
      <c r="AV247" s="971"/>
      <c r="AW247" s="971"/>
      <c r="AX247" s="971"/>
      <c r="AY247" s="971"/>
      <c r="AZ247" s="1161"/>
      <c r="BA247" s="971"/>
      <c r="BB247" s="971"/>
      <c r="BC247" s="971"/>
      <c r="BD247" s="971"/>
      <c r="BE247" s="1161"/>
      <c r="BF247" s="971"/>
      <c r="BG247" s="971"/>
      <c r="BH247" s="972"/>
      <c r="BI247" s="973"/>
      <c r="BJ247" s="1162"/>
      <c r="BK247" s="973"/>
      <c r="BL247" s="973"/>
      <c r="BM247" s="973"/>
      <c r="BN247" s="973"/>
      <c r="BO247" s="1162"/>
      <c r="BP247" s="1161"/>
      <c r="BQ247" s="1161"/>
      <c r="BR247" s="1162"/>
      <c r="BS247" s="664"/>
    </row>
    <row r="248" spans="1:71" s="672" customFormat="1" ht="15">
      <c r="A248" s="950" t="s">
        <v>196</v>
      </c>
      <c r="B248" s="951"/>
      <c r="C248" s="967"/>
      <c r="D248" s="967"/>
      <c r="E248" s="967"/>
      <c r="F248" s="967"/>
      <c r="G248" s="967"/>
      <c r="H248" s="967"/>
      <c r="I248" s="967"/>
      <c r="J248" s="967"/>
      <c r="K248" s="967"/>
      <c r="L248" s="967"/>
      <c r="M248" s="967"/>
      <c r="N248" s="967"/>
      <c r="O248" s="967"/>
      <c r="P248" s="967"/>
      <c r="Q248" s="967"/>
      <c r="R248" s="967"/>
      <c r="S248" s="967"/>
      <c r="T248" s="967"/>
      <c r="U248" s="967"/>
      <c r="V248" s="967"/>
      <c r="W248" s="967"/>
      <c r="X248" s="967"/>
      <c r="Y248" s="967"/>
      <c r="Z248" s="967"/>
      <c r="AA248" s="967"/>
      <c r="AB248" s="967"/>
      <c r="AC248" s="967"/>
      <c r="AD248" s="967"/>
      <c r="AE248" s="967"/>
      <c r="AF248" s="967"/>
      <c r="AG248" s="967"/>
      <c r="AH248" s="967"/>
      <c r="AI248" s="967"/>
      <c r="AJ248" s="967"/>
      <c r="AK248" s="967"/>
      <c r="AL248" s="967"/>
      <c r="AM248" s="967"/>
      <c r="AN248" s="967"/>
      <c r="AO248" s="967"/>
      <c r="AP248" s="967"/>
      <c r="AQ248" s="967"/>
      <c r="AR248" s="967"/>
      <c r="AS248" s="967"/>
      <c r="AT248" s="967"/>
      <c r="AU248" s="967"/>
      <c r="AV248" s="967"/>
      <c r="AW248" s="967"/>
      <c r="AX248" s="967"/>
      <c r="AY248" s="967"/>
      <c r="AZ248" s="967"/>
      <c r="BA248" s="967"/>
      <c r="BB248" s="967"/>
      <c r="BC248" s="967"/>
      <c r="BD248" s="967"/>
      <c r="BE248" s="967"/>
      <c r="BF248" s="967"/>
      <c r="BG248" s="967"/>
      <c r="BH248" s="968"/>
      <c r="BI248" s="969"/>
      <c r="BJ248" s="969"/>
      <c r="BK248" s="969"/>
      <c r="BL248" s="969"/>
      <c r="BM248" s="969"/>
      <c r="BN248" s="969"/>
      <c r="BO248" s="969"/>
      <c r="BP248" s="967"/>
      <c r="BQ248" s="967"/>
      <c r="BR248" s="969"/>
      <c r="BS248" s="456"/>
    </row>
    <row r="249" spans="1:71" s="674" customFormat="1" ht="15" hidden="1" outlineLevel="1">
      <c r="A249" s="428" t="s">
        <v>194</v>
      </c>
      <c r="B249" s="509"/>
      <c r="C249" s="1180">
        <f t="shared" si="675" ref="C249:AK249">C244</f>
        <v>519</v>
      </c>
      <c r="D249" s="1180">
        <f t="shared" si="675"/>
        <v>479</v>
      </c>
      <c r="E249" s="1180">
        <f t="shared" si="675"/>
        <v>342</v>
      </c>
      <c r="F249" s="1180">
        <f t="shared" si="675"/>
        <v>488</v>
      </c>
      <c r="G249" s="1180">
        <f t="shared" si="675"/>
        <v>471</v>
      </c>
      <c r="H249" s="287">
        <f t="shared" si="675"/>
        <v>103</v>
      </c>
      <c r="I249" s="287">
        <f t="shared" si="675"/>
        <v>106</v>
      </c>
      <c r="J249" s="287">
        <f t="shared" si="675"/>
        <v>116</v>
      </c>
      <c r="K249" s="287">
        <f t="shared" si="675"/>
        <v>127</v>
      </c>
      <c r="L249" s="1180">
        <f t="shared" si="675"/>
        <v>452</v>
      </c>
      <c r="M249" s="287">
        <f t="shared" si="675"/>
        <v>19</v>
      </c>
      <c r="N249" s="287">
        <f t="shared" si="675"/>
        <v>141</v>
      </c>
      <c r="O249" s="287">
        <f t="shared" si="675"/>
        <v>63</v>
      </c>
      <c r="P249" s="287">
        <f t="shared" si="675"/>
        <v>129</v>
      </c>
      <c r="Q249" s="1180">
        <f t="shared" si="675"/>
        <v>352</v>
      </c>
      <c r="R249" s="287">
        <f t="shared" si="675"/>
        <v>101</v>
      </c>
      <c r="S249" s="287">
        <f t="shared" si="675"/>
        <v>54</v>
      </c>
      <c r="T249" s="287">
        <f t="shared" si="675"/>
        <v>109</v>
      </c>
      <c r="U249" s="287">
        <f t="shared" si="675"/>
        <v>385</v>
      </c>
      <c r="V249" s="1180">
        <f t="shared" si="675"/>
        <v>649</v>
      </c>
      <c r="W249" s="287">
        <f t="shared" si="675"/>
        <v>153</v>
      </c>
      <c r="X249" s="287">
        <f t="shared" si="675"/>
        <v>145</v>
      </c>
      <c r="Y249" s="287">
        <f t="shared" si="675"/>
        <v>11</v>
      </c>
      <c r="Z249" s="287">
        <f t="shared" si="675"/>
        <v>166</v>
      </c>
      <c r="AA249" s="1180">
        <f t="shared" si="675"/>
        <v>475</v>
      </c>
      <c r="AB249" s="287">
        <f t="shared" si="675"/>
        <v>145</v>
      </c>
      <c r="AC249" s="287">
        <f t="shared" si="675"/>
        <v>210</v>
      </c>
      <c r="AD249" s="287">
        <f t="shared" si="675"/>
        <v>204</v>
      </c>
      <c r="AE249" s="287">
        <f t="shared" si="675"/>
        <v>-29</v>
      </c>
      <c r="AF249" s="1180">
        <f t="shared" si="675"/>
        <v>530</v>
      </c>
      <c r="AG249" s="287">
        <f t="shared" si="675"/>
        <v>329</v>
      </c>
      <c r="AH249" s="287">
        <f t="shared" si="675"/>
        <v>210</v>
      </c>
      <c r="AI249" s="287">
        <f t="shared" si="675"/>
        <v>147</v>
      </c>
      <c r="AJ249" s="287">
        <f t="shared" si="675"/>
        <v>211</v>
      </c>
      <c r="AK249" s="1180">
        <f t="shared" si="675"/>
        <v>897</v>
      </c>
      <c r="AL249" s="287">
        <f t="shared" si="676" ref="AL249:AQ249">AL244</f>
        <v>-301</v>
      </c>
      <c r="AM249" s="287">
        <f t="shared" si="676"/>
        <v>177</v>
      </c>
      <c r="AN249" s="287">
        <f t="shared" si="676"/>
        <v>164</v>
      </c>
      <c r="AO249" s="287">
        <f t="shared" si="676"/>
        <v>692</v>
      </c>
      <c r="AP249" s="1180">
        <f t="shared" si="676"/>
        <v>732</v>
      </c>
      <c r="AQ249" s="287">
        <f t="shared" si="676"/>
        <v>419</v>
      </c>
      <c r="AR249" s="287">
        <f t="shared" si="677" ref="AR249:AW249">AR244</f>
        <v>1002</v>
      </c>
      <c r="AS249" s="287">
        <f t="shared" si="677"/>
        <v>219</v>
      </c>
      <c r="AT249" s="287">
        <f t="shared" si="677"/>
        <v>355</v>
      </c>
      <c r="AU249" s="1180">
        <f t="shared" si="677"/>
        <v>1995</v>
      </c>
      <c r="AV249" s="287">
        <f t="shared" si="677"/>
        <v>290</v>
      </c>
      <c r="AW249" s="287">
        <f t="shared" si="677"/>
        <v>167</v>
      </c>
      <c r="AX249" s="287">
        <f t="shared" si="678" ref="AX249:BC249">AX244</f>
        <v>165</v>
      </c>
      <c r="AY249" s="287">
        <f t="shared" si="678"/>
        <v>276</v>
      </c>
      <c r="AZ249" s="1180">
        <f t="shared" si="678"/>
        <v>898</v>
      </c>
      <c r="BA249" s="287">
        <f t="shared" si="678"/>
        <v>212</v>
      </c>
      <c r="BB249" s="287">
        <f t="shared" si="678"/>
        <v>200</v>
      </c>
      <c r="BC249" s="287">
        <f t="shared" si="678"/>
        <v>177</v>
      </c>
      <c r="BD249" s="287">
        <f>BD244</f>
        <v>263</v>
      </c>
      <c r="BE249" s="1180">
        <f>BE244</f>
        <v>852</v>
      </c>
      <c r="BF249" s="287">
        <f>BF244</f>
        <v>242</v>
      </c>
      <c r="BG249" s="287">
        <f>BG244</f>
        <v>209</v>
      </c>
      <c r="BH249" s="888">
        <f>BH244</f>
        <v>181</v>
      </c>
      <c r="BI249" s="159">
        <f>BI285</f>
        <v>315.50799804918023</v>
      </c>
      <c r="BJ249" s="1148">
        <f t="shared" si="679" ref="BJ249:BJ256">SUM(BF249,BG249,BH249,BI249)</f>
        <v>947.50799804918029</v>
      </c>
      <c r="BK249" s="159">
        <f>BK285</f>
        <v>293.36198574945206</v>
      </c>
      <c r="BL249" s="159">
        <f>BL285</f>
        <v>259.77245142082188</v>
      </c>
      <c r="BM249" s="159">
        <f>BM285</f>
        <v>279.81663242726023</v>
      </c>
      <c r="BN249" s="159">
        <f>BN285</f>
        <v>337.18148403580813</v>
      </c>
      <c r="BO249" s="1148">
        <f t="shared" si="680" ref="BO249:BO256">SUM(BK249,BL249,BM249,BN249)</f>
        <v>1170.1325536333422</v>
      </c>
      <c r="BP249" s="1147">
        <f>BP285</f>
        <v>1262.6980643995962</v>
      </c>
      <c r="BQ249" s="1147">
        <f>BQ285</f>
        <v>1564.2660318054973</v>
      </c>
      <c r="BR249" s="1148">
        <f>BR285</f>
        <v>1635.7135375929206</v>
      </c>
      <c r="BS249" s="37"/>
    </row>
    <row r="250" spans="1:71" s="673" customFormat="1" ht="15" hidden="1" outlineLevel="1">
      <c r="A250" s="162" t="s">
        <v>500</v>
      </c>
      <c r="B250" s="417"/>
      <c r="C250" s="1131"/>
      <c r="D250" s="1131"/>
      <c r="E250" s="1131"/>
      <c r="F250" s="1131"/>
      <c r="G250" s="1131"/>
      <c r="H250" s="419"/>
      <c r="I250" s="419"/>
      <c r="J250" s="419"/>
      <c r="K250" s="419"/>
      <c r="L250" s="1131"/>
      <c r="M250" s="419"/>
      <c r="N250" s="419"/>
      <c r="O250" s="419"/>
      <c r="P250" s="419"/>
      <c r="Q250" s="1131"/>
      <c r="R250" s="419"/>
      <c r="S250" s="419"/>
      <c r="T250" s="419"/>
      <c r="U250" s="419"/>
      <c r="V250" s="1131"/>
      <c r="W250" s="419"/>
      <c r="X250" s="419"/>
      <c r="Y250" s="419"/>
      <c r="Z250" s="419"/>
      <c r="AA250" s="1131"/>
      <c r="AB250" s="1037">
        <v>74</v>
      </c>
      <c r="AC250" s="1037">
        <v>-25</v>
      </c>
      <c r="AD250" s="1037">
        <v>-27</v>
      </c>
      <c r="AE250" s="288">
        <f>AF250-SUM(AB250,AC250,AD250)</f>
        <v>188</v>
      </c>
      <c r="AF250" s="1132">
        <v>210</v>
      </c>
      <c r="AG250" s="1037">
        <v>-145</v>
      </c>
      <c r="AH250" s="1037">
        <v>-45</v>
      </c>
      <c r="AI250" s="1037">
        <v>14</v>
      </c>
      <c r="AJ250" s="288">
        <f>AK250-SUM(AG250,AH250,AI250)</f>
        <v>-51</v>
      </c>
      <c r="AK250" s="1132">
        <v>-227</v>
      </c>
      <c r="AL250" s="1037">
        <v>259</v>
      </c>
      <c r="AM250" s="1037">
        <v>-85</v>
      </c>
      <c r="AN250" s="1037">
        <v>-18</v>
      </c>
      <c r="AO250" s="288">
        <f t="shared" si="681" ref="AO250:AO256">AP250-SUM(AL250,AM250,AN250)</f>
        <v>-97</v>
      </c>
      <c r="AP250" s="1132">
        <v>59</v>
      </c>
      <c r="AQ250" s="1037">
        <v>-61</v>
      </c>
      <c r="AR250" s="1037">
        <v>-34</v>
      </c>
      <c r="AS250" s="1037">
        <v>12</v>
      </c>
      <c r="AT250" s="288">
        <f t="shared" si="682" ref="AT250:AT256">AU250-SUM(AQ250,AR250,AS250)</f>
        <v>-4</v>
      </c>
      <c r="AU250" s="1132">
        <v>-87</v>
      </c>
      <c r="AV250" s="1037">
        <v>12</v>
      </c>
      <c r="AW250" s="1037">
        <v>73</v>
      </c>
      <c r="AX250" s="1037">
        <v>28</v>
      </c>
      <c r="AY250" s="288">
        <f t="shared" si="683" ref="AY250:AY256">AZ250-SUM(AV250,AW250,AX250)</f>
        <v>-21</v>
      </c>
      <c r="AZ250" s="1132">
        <v>92</v>
      </c>
      <c r="BA250" s="1037">
        <v>37</v>
      </c>
      <c r="BB250" s="1037">
        <v>1</v>
      </c>
      <c r="BC250" s="1037">
        <f>15+4</f>
        <v>19</v>
      </c>
      <c r="BD250" s="288">
        <f t="shared" si="684" ref="BD250:BD256">BE250-SUM(BA250,BB250,BC250)</f>
        <v>-25</v>
      </c>
      <c r="BE250" s="1132">
        <v>32</v>
      </c>
      <c r="BF250" s="1037">
        <v>-11</v>
      </c>
      <c r="BG250" s="1037">
        <v>2</v>
      </c>
      <c r="BH250" s="1038">
        <v>2</v>
      </c>
      <c r="BI250" s="171">
        <f>-BI265*(1-BI292-BI293)</f>
        <v>-37.50</v>
      </c>
      <c r="BJ250" s="1133">
        <f t="shared" si="679"/>
        <v>-44.50</v>
      </c>
      <c r="BK250" s="171">
        <f>-BK265*(1-BK292-BK293)</f>
        <v>-21</v>
      </c>
      <c r="BL250" s="171">
        <f>-BL265*(1-BL292-BL293)</f>
        <v>-21</v>
      </c>
      <c r="BM250" s="171">
        <f>-BM265*(1-BM292-BM293)</f>
        <v>-24.50</v>
      </c>
      <c r="BN250" s="171">
        <f>-BN265*(1-BN292-BN293)</f>
        <v>-31</v>
      </c>
      <c r="BO250" s="1133">
        <f t="shared" si="680"/>
        <v>-97.50</v>
      </c>
      <c r="BP250" s="1131">
        <f>-BP265*(1-BP292-BP293)</f>
        <v>-105</v>
      </c>
      <c r="BQ250" s="1131">
        <f>-BQ265*(1-BQ292-BQ293)</f>
        <v>-109.90000000000002</v>
      </c>
      <c r="BR250" s="1133">
        <f>-BR265*(1-BR292-BR293)</f>
        <v>-109.90000000000002</v>
      </c>
      <c r="BS250" s="32"/>
    </row>
    <row r="251" spans="1:71" s="673" customFormat="1" ht="15" hidden="1" outlineLevel="1">
      <c r="A251" s="162" t="s">
        <v>501</v>
      </c>
      <c r="B251" s="417"/>
      <c r="C251" s="1131"/>
      <c r="D251" s="1131"/>
      <c r="E251" s="1131"/>
      <c r="F251" s="1131"/>
      <c r="G251" s="1131"/>
      <c r="H251" s="419"/>
      <c r="I251" s="419"/>
      <c r="J251" s="419"/>
      <c r="K251" s="419"/>
      <c r="L251" s="1131"/>
      <c r="M251" s="419"/>
      <c r="N251" s="419"/>
      <c r="O251" s="419"/>
      <c r="P251" s="419"/>
      <c r="Q251" s="1131"/>
      <c r="R251" s="419"/>
      <c r="S251" s="419"/>
      <c r="T251" s="419"/>
      <c r="U251" s="419"/>
      <c r="V251" s="1131"/>
      <c r="W251" s="419"/>
      <c r="X251" s="419"/>
      <c r="Y251" s="419"/>
      <c r="Z251" s="419"/>
      <c r="AA251" s="1131"/>
      <c r="AB251" s="419"/>
      <c r="AC251" s="419"/>
      <c r="AD251" s="1037">
        <v>0</v>
      </c>
      <c r="AE251" s="288">
        <f>AF251-SUM(AB251,AC251,AD251)</f>
        <v>0</v>
      </c>
      <c r="AF251" s="1132">
        <v>0</v>
      </c>
      <c r="AG251" s="1037">
        <v>0</v>
      </c>
      <c r="AH251" s="1037">
        <v>27</v>
      </c>
      <c r="AI251" s="1037">
        <v>21</v>
      </c>
      <c r="AJ251" s="288">
        <f>AK251-SUM(AG251,AH251,AI251)</f>
        <v>-19</v>
      </c>
      <c r="AK251" s="1132">
        <v>29</v>
      </c>
      <c r="AL251" s="419"/>
      <c r="AM251" s="419"/>
      <c r="AN251" s="419"/>
      <c r="AO251" s="288">
        <f t="shared" si="681"/>
        <v>0</v>
      </c>
      <c r="AP251" s="1131"/>
      <c r="AQ251" s="419"/>
      <c r="AR251" s="419"/>
      <c r="AS251" s="419"/>
      <c r="AT251" s="288">
        <f t="shared" si="682"/>
        <v>0</v>
      </c>
      <c r="AU251" s="1131"/>
      <c r="AV251" s="419"/>
      <c r="AW251" s="419"/>
      <c r="AX251" s="419"/>
      <c r="AY251" s="288">
        <f t="shared" si="683"/>
        <v>0</v>
      </c>
      <c r="AZ251" s="1131"/>
      <c r="BA251" s="419"/>
      <c r="BB251" s="419"/>
      <c r="BC251" s="419"/>
      <c r="BD251" s="288">
        <f t="shared" si="684"/>
        <v>0</v>
      </c>
      <c r="BE251" s="1131"/>
      <c r="BF251" s="419"/>
      <c r="BG251" s="419"/>
      <c r="BH251" s="464"/>
      <c r="BI251" s="171"/>
      <c r="BJ251" s="1133">
        <f t="shared" si="679"/>
        <v>0</v>
      </c>
      <c r="BK251" s="171"/>
      <c r="BL251" s="171"/>
      <c r="BM251" s="171"/>
      <c r="BN251" s="171"/>
      <c r="BO251" s="1133">
        <f t="shared" si="680"/>
        <v>0</v>
      </c>
      <c r="BP251" s="1131"/>
      <c r="BQ251" s="1131"/>
      <c r="BR251" s="1133"/>
      <c r="BS251" s="32"/>
    </row>
    <row r="252" spans="1:71" s="673" customFormat="1" ht="15" hidden="1" outlineLevel="1">
      <c r="A252" s="162" t="s">
        <v>504</v>
      </c>
      <c r="B252" s="417"/>
      <c r="C252" s="1131"/>
      <c r="D252" s="1131"/>
      <c r="E252" s="1131"/>
      <c r="F252" s="1131"/>
      <c r="G252" s="1131"/>
      <c r="H252" s="419"/>
      <c r="I252" s="419"/>
      <c r="J252" s="419"/>
      <c r="K252" s="419"/>
      <c r="L252" s="1131"/>
      <c r="M252" s="419"/>
      <c r="N252" s="419"/>
      <c r="O252" s="419"/>
      <c r="P252" s="419"/>
      <c r="Q252" s="1131"/>
      <c r="R252" s="419"/>
      <c r="S252" s="419"/>
      <c r="T252" s="419"/>
      <c r="U252" s="419"/>
      <c r="V252" s="1131"/>
      <c r="W252" s="419"/>
      <c r="X252" s="419"/>
      <c r="Y252" s="419"/>
      <c r="Z252" s="419"/>
      <c r="AA252" s="1131"/>
      <c r="AB252" s="419"/>
      <c r="AC252" s="419"/>
      <c r="AD252" s="1037">
        <v>21</v>
      </c>
      <c r="AE252" s="288">
        <f>AF252-SUM(AB252,AC252,AD252)</f>
        <v>0</v>
      </c>
      <c r="AF252" s="1132">
        <v>21</v>
      </c>
      <c r="AG252" s="419"/>
      <c r="AH252" s="419"/>
      <c r="AI252" s="1037">
        <v>23</v>
      </c>
      <c r="AJ252" s="288">
        <f>AK252-SUM(AG252,AH252,AI252)</f>
        <v>0</v>
      </c>
      <c r="AK252" s="1132">
        <v>23</v>
      </c>
      <c r="AL252" s="419"/>
      <c r="AM252" s="419"/>
      <c r="AN252" s="1037">
        <f>37+17</f>
        <v>54</v>
      </c>
      <c r="AO252" s="288">
        <f t="shared" si="681"/>
        <v>0</v>
      </c>
      <c r="AP252" s="1132">
        <f>37+17</f>
        <v>54</v>
      </c>
      <c r="AQ252" s="419"/>
      <c r="AR252" s="419"/>
      <c r="AS252" s="419"/>
      <c r="AT252" s="288">
        <f t="shared" si="682"/>
        <v>0</v>
      </c>
      <c r="AU252" s="1131"/>
      <c r="AV252" s="419"/>
      <c r="AW252" s="419"/>
      <c r="AX252" s="419"/>
      <c r="AY252" s="288">
        <f t="shared" si="683"/>
        <v>0</v>
      </c>
      <c r="AZ252" s="1131"/>
      <c r="BA252" s="419"/>
      <c r="BB252" s="419"/>
      <c r="BC252" s="1037">
        <v>12</v>
      </c>
      <c r="BD252" s="288">
        <f t="shared" si="684"/>
        <v>0</v>
      </c>
      <c r="BE252" s="1132">
        <v>12</v>
      </c>
      <c r="BF252" s="419"/>
      <c r="BG252" s="419"/>
      <c r="BH252" s="1038">
        <v>11</v>
      </c>
      <c r="BI252" s="171"/>
      <c r="BJ252" s="1133">
        <f t="shared" si="679"/>
        <v>11</v>
      </c>
      <c r="BK252" s="171"/>
      <c r="BL252" s="171"/>
      <c r="BM252" s="171"/>
      <c r="BN252" s="171"/>
      <c r="BO252" s="1133">
        <f t="shared" si="680"/>
        <v>0</v>
      </c>
      <c r="BP252" s="1131"/>
      <c r="BQ252" s="1131"/>
      <c r="BR252" s="1133"/>
      <c r="BS252" s="32"/>
    </row>
    <row r="253" spans="1:71" s="673" customFormat="1" ht="15" hidden="1" outlineLevel="1">
      <c r="A253" s="431" t="s">
        <v>502</v>
      </c>
      <c r="B253" s="510"/>
      <c r="C253" s="1131"/>
      <c r="D253" s="1131"/>
      <c r="E253" s="1131"/>
      <c r="F253" s="1131"/>
      <c r="G253" s="1131"/>
      <c r="H253" s="419"/>
      <c r="I253" s="419"/>
      <c r="J253" s="419"/>
      <c r="K253" s="419"/>
      <c r="L253" s="1131"/>
      <c r="M253" s="419"/>
      <c r="N253" s="419"/>
      <c r="O253" s="419"/>
      <c r="P253" s="419"/>
      <c r="Q253" s="1131"/>
      <c r="R253" s="419"/>
      <c r="S253" s="419"/>
      <c r="T253" s="419"/>
      <c r="U253" s="419"/>
      <c r="V253" s="1131"/>
      <c r="W253" s="419"/>
      <c r="X253" s="419"/>
      <c r="Y253" s="419"/>
      <c r="Z253" s="419"/>
      <c r="AA253" s="1131"/>
      <c r="AB253" s="419"/>
      <c r="AC253" s="419"/>
      <c r="AD253" s="419"/>
      <c r="AE253" s="288">
        <f>AF253-SUM(AB253,AC253,AD253)</f>
        <v>0</v>
      </c>
      <c r="AF253" s="1132">
        <v>0</v>
      </c>
      <c r="AG253" s="1037">
        <v>0</v>
      </c>
      <c r="AH253" s="419"/>
      <c r="AI253" s="419"/>
      <c r="AJ253" s="288">
        <f>AK253-SUM(AG253,AH253,AI253)</f>
        <v>58</v>
      </c>
      <c r="AK253" s="1132">
        <v>58</v>
      </c>
      <c r="AL253" s="1037">
        <v>7</v>
      </c>
      <c r="AM253" s="1037">
        <v>32</v>
      </c>
      <c r="AN253" s="1037">
        <v>-3</v>
      </c>
      <c r="AO253" s="288">
        <f t="shared" si="681"/>
        <v>3</v>
      </c>
      <c r="AP253" s="1132">
        <v>39</v>
      </c>
      <c r="AQ253" s="419"/>
      <c r="AR253" s="1037">
        <v>-3</v>
      </c>
      <c r="AS253" s="419"/>
      <c r="AT253" s="288">
        <f t="shared" si="682"/>
        <v>0</v>
      </c>
      <c r="AU253" s="1132">
        <v>-3</v>
      </c>
      <c r="AV253" s="419"/>
      <c r="AW253" s="419"/>
      <c r="AX253" s="419"/>
      <c r="AY253" s="288">
        <f t="shared" si="683"/>
        <v>0</v>
      </c>
      <c r="AZ253" s="1131"/>
      <c r="BA253" s="419"/>
      <c r="BB253" s="419"/>
      <c r="BC253" s="419"/>
      <c r="BD253" s="288">
        <f t="shared" si="684"/>
        <v>0</v>
      </c>
      <c r="BE253" s="1131"/>
      <c r="BF253" s="419"/>
      <c r="BG253" s="419"/>
      <c r="BH253" s="464"/>
      <c r="BI253" s="419"/>
      <c r="BJ253" s="1131">
        <f t="shared" si="679"/>
        <v>0</v>
      </c>
      <c r="BK253" s="419"/>
      <c r="BL253" s="419"/>
      <c r="BM253" s="419"/>
      <c r="BN253" s="419"/>
      <c r="BO253" s="1131">
        <f t="shared" si="680"/>
        <v>0</v>
      </c>
      <c r="BP253" s="1131"/>
      <c r="BQ253" s="1131"/>
      <c r="BR253" s="1131"/>
      <c r="BS253" s="32"/>
    </row>
    <row r="254" spans="1:71" s="673" customFormat="1" ht="15" hidden="1" outlineLevel="1">
      <c r="A254" s="431" t="s">
        <v>505</v>
      </c>
      <c r="B254" s="510"/>
      <c r="C254" s="1131"/>
      <c r="D254" s="1131"/>
      <c r="E254" s="1131"/>
      <c r="F254" s="1131"/>
      <c r="G254" s="1131"/>
      <c r="H254" s="419"/>
      <c r="I254" s="419"/>
      <c r="J254" s="419"/>
      <c r="K254" s="419"/>
      <c r="L254" s="1131"/>
      <c r="M254" s="419"/>
      <c r="N254" s="419"/>
      <c r="O254" s="419"/>
      <c r="P254" s="419"/>
      <c r="Q254" s="1131"/>
      <c r="R254" s="419"/>
      <c r="S254" s="419"/>
      <c r="T254" s="419"/>
      <c r="U254" s="419"/>
      <c r="V254" s="1131"/>
      <c r="W254" s="419"/>
      <c r="X254" s="419"/>
      <c r="Y254" s="419"/>
      <c r="Z254" s="419"/>
      <c r="AA254" s="1131"/>
      <c r="AB254" s="419"/>
      <c r="AC254" s="419"/>
      <c r="AD254" s="419"/>
      <c r="AE254" s="288">
        <f>AF254-SUM(AB254,AC254,AD254)</f>
        <v>0</v>
      </c>
      <c r="AF254" s="1132">
        <v>0</v>
      </c>
      <c r="AG254" s="419"/>
      <c r="AH254" s="419"/>
      <c r="AI254" s="419"/>
      <c r="AJ254" s="288">
        <f>AK254-SUM(AG254,AH254,AI254)</f>
        <v>4</v>
      </c>
      <c r="AK254" s="1132">
        <v>4</v>
      </c>
      <c r="AL254" s="419"/>
      <c r="AM254" s="419"/>
      <c r="AN254" s="419"/>
      <c r="AO254" s="288">
        <f t="shared" si="681"/>
        <v>0</v>
      </c>
      <c r="AP254" s="1131"/>
      <c r="AQ254" s="419"/>
      <c r="AR254" s="419"/>
      <c r="AS254" s="419"/>
      <c r="AT254" s="288">
        <f t="shared" si="682"/>
        <v>0</v>
      </c>
      <c r="AU254" s="1131"/>
      <c r="AV254" s="419"/>
      <c r="AW254" s="1037">
        <v>7</v>
      </c>
      <c r="AX254" s="1037">
        <v>-1</v>
      </c>
      <c r="AY254" s="288">
        <f t="shared" si="683"/>
        <v>1</v>
      </c>
      <c r="AZ254" s="1132">
        <v>7</v>
      </c>
      <c r="BA254" s="1037">
        <v>-2</v>
      </c>
      <c r="BB254" s="1037">
        <v>1</v>
      </c>
      <c r="BC254" s="419"/>
      <c r="BD254" s="288">
        <f t="shared" si="684"/>
        <v>0</v>
      </c>
      <c r="BE254" s="1132">
        <v>-1</v>
      </c>
      <c r="BF254" s="419"/>
      <c r="BG254" s="419"/>
      <c r="BH254" s="464"/>
      <c r="BI254" s="419"/>
      <c r="BJ254" s="1131">
        <f t="shared" si="679"/>
        <v>0</v>
      </c>
      <c r="BK254" s="419"/>
      <c r="BL254" s="419"/>
      <c r="BM254" s="419"/>
      <c r="BN254" s="419"/>
      <c r="BO254" s="1131">
        <f t="shared" si="680"/>
        <v>0</v>
      </c>
      <c r="BP254" s="1131"/>
      <c r="BQ254" s="1131"/>
      <c r="BR254" s="1131"/>
      <c r="BS254" s="32"/>
    </row>
    <row r="255" spans="1:71" s="673" customFormat="1" ht="15" hidden="1" outlineLevel="1">
      <c r="A255" s="431" t="s">
        <v>529</v>
      </c>
      <c r="B255" s="510"/>
      <c r="C255" s="1131"/>
      <c r="D255" s="1131"/>
      <c r="E255" s="1131"/>
      <c r="F255" s="1131"/>
      <c r="G255" s="1131"/>
      <c r="H255" s="419"/>
      <c r="I255" s="419"/>
      <c r="J255" s="419"/>
      <c r="K255" s="419"/>
      <c r="L255" s="1131"/>
      <c r="M255" s="419"/>
      <c r="N255" s="419"/>
      <c r="O255" s="419"/>
      <c r="P255" s="419"/>
      <c r="Q255" s="1131"/>
      <c r="R255" s="419"/>
      <c r="S255" s="419"/>
      <c r="T255" s="419"/>
      <c r="U255" s="419"/>
      <c r="V255" s="1131"/>
      <c r="W255" s="419"/>
      <c r="X255" s="419"/>
      <c r="Y255" s="419"/>
      <c r="Z255" s="419"/>
      <c r="AA255" s="1131"/>
      <c r="AB255" s="419"/>
      <c r="AC255" s="419"/>
      <c r="AD255" s="419"/>
      <c r="AE255" s="419"/>
      <c r="AF255" s="1131"/>
      <c r="AG255" s="419"/>
      <c r="AH255" s="419"/>
      <c r="AI255" s="419"/>
      <c r="AJ255" s="419"/>
      <c r="AK255" s="1131"/>
      <c r="AL255" s="1037">
        <v>160</v>
      </c>
      <c r="AM255" s="1037">
        <v>-64</v>
      </c>
      <c r="AN255" s="1037">
        <v>-76</v>
      </c>
      <c r="AO255" s="419">
        <f t="shared" si="681"/>
        <v>-427</v>
      </c>
      <c r="AP255" s="1132">
        <v>-407</v>
      </c>
      <c r="AQ255" s="1037">
        <v>-152</v>
      </c>
      <c r="AR255" s="1037">
        <v>-762</v>
      </c>
      <c r="AS255" s="419"/>
      <c r="AT255" s="288">
        <f t="shared" si="682"/>
        <v>0</v>
      </c>
      <c r="AU255" s="1132">
        <v>-914</v>
      </c>
      <c r="AV255" s="419"/>
      <c r="AW255" s="419"/>
      <c r="AX255" s="419"/>
      <c r="AY255" s="288">
        <f t="shared" si="683"/>
        <v>0</v>
      </c>
      <c r="AZ255" s="1131"/>
      <c r="BA255" s="419"/>
      <c r="BB255" s="419"/>
      <c r="BC255" s="419"/>
      <c r="BD255" s="288">
        <f t="shared" si="684"/>
        <v>0</v>
      </c>
      <c r="BE255" s="1131"/>
      <c r="BF255" s="419"/>
      <c r="BG255" s="419"/>
      <c r="BH255" s="464"/>
      <c r="BI255" s="419"/>
      <c r="BJ255" s="1131">
        <f t="shared" si="679"/>
        <v>0</v>
      </c>
      <c r="BK255" s="419"/>
      <c r="BL255" s="419"/>
      <c r="BM255" s="419"/>
      <c r="BN255" s="419"/>
      <c r="BO255" s="1131">
        <f t="shared" si="680"/>
        <v>0</v>
      </c>
      <c r="BP255" s="1131"/>
      <c r="BQ255" s="1131"/>
      <c r="BR255" s="1131"/>
      <c r="BS255" s="32"/>
    </row>
    <row r="256" spans="1:71" s="673" customFormat="1" ht="15" hidden="1" outlineLevel="1">
      <c r="A256" s="601" t="s">
        <v>512</v>
      </c>
      <c r="B256" s="511"/>
      <c r="C256" s="1134"/>
      <c r="D256" s="1134"/>
      <c r="E256" s="1134"/>
      <c r="F256" s="1134"/>
      <c r="G256" s="1134"/>
      <c r="H256" s="363"/>
      <c r="I256" s="363"/>
      <c r="J256" s="363"/>
      <c r="K256" s="363"/>
      <c r="L256" s="1134"/>
      <c r="M256" s="363"/>
      <c r="N256" s="363"/>
      <c r="O256" s="363"/>
      <c r="P256" s="363"/>
      <c r="Q256" s="1134"/>
      <c r="R256" s="363"/>
      <c r="S256" s="363"/>
      <c r="T256" s="363"/>
      <c r="U256" s="363"/>
      <c r="V256" s="1134"/>
      <c r="W256" s="363"/>
      <c r="X256" s="363"/>
      <c r="Y256" s="363"/>
      <c r="Z256" s="363"/>
      <c r="AA256" s="1134"/>
      <c r="AB256" s="363"/>
      <c r="AC256" s="363"/>
      <c r="AD256" s="363"/>
      <c r="AE256" s="363"/>
      <c r="AF256" s="1134"/>
      <c r="AG256" s="363"/>
      <c r="AH256" s="363"/>
      <c r="AI256" s="363"/>
      <c r="AJ256" s="363"/>
      <c r="AK256" s="1134"/>
      <c r="AL256" s="363"/>
      <c r="AM256" s="363"/>
      <c r="AN256" s="363"/>
      <c r="AO256" s="363">
        <f t="shared" si="681"/>
        <v>4</v>
      </c>
      <c r="AP256" s="1135">
        <v>4</v>
      </c>
      <c r="AQ256" s="363"/>
      <c r="AR256" s="1040">
        <v>2</v>
      </c>
      <c r="AS256" s="363"/>
      <c r="AT256" s="363">
        <f t="shared" si="682"/>
        <v>0</v>
      </c>
      <c r="AU256" s="1135">
        <v>2</v>
      </c>
      <c r="AV256" s="1040">
        <v>1</v>
      </c>
      <c r="AW256" s="1040">
        <v>-4</v>
      </c>
      <c r="AX256" s="363"/>
      <c r="AY256" s="363">
        <f t="shared" si="683"/>
        <v>-1</v>
      </c>
      <c r="AZ256" s="1135">
        <v>-4</v>
      </c>
      <c r="BA256" s="363"/>
      <c r="BB256" s="363"/>
      <c r="BC256" s="363"/>
      <c r="BD256" s="363">
        <f t="shared" si="684"/>
        <v>0</v>
      </c>
      <c r="BE256" s="1135">
        <v>0</v>
      </c>
      <c r="BF256" s="363"/>
      <c r="BG256" s="1040">
        <v>4</v>
      </c>
      <c r="BH256" s="773"/>
      <c r="BI256" s="363"/>
      <c r="BJ256" s="1134">
        <f t="shared" si="679"/>
        <v>4</v>
      </c>
      <c r="BK256" s="363"/>
      <c r="BL256" s="363"/>
      <c r="BM256" s="363"/>
      <c r="BN256" s="363"/>
      <c r="BO256" s="1134">
        <f t="shared" si="680"/>
        <v>0</v>
      </c>
      <c r="BP256" s="1134"/>
      <c r="BQ256" s="1134"/>
      <c r="BR256" s="1134"/>
      <c r="BS256" s="32"/>
    </row>
    <row r="257" spans="1:71" s="673" customFormat="1" ht="15" hidden="1" outlineLevel="1">
      <c r="A257" s="357" t="s">
        <v>508</v>
      </c>
      <c r="B257" s="512"/>
      <c r="C257" s="1137"/>
      <c r="D257" s="1137"/>
      <c r="E257" s="1137"/>
      <c r="F257" s="1137"/>
      <c r="G257" s="1137"/>
      <c r="H257" s="513"/>
      <c r="I257" s="513"/>
      <c r="J257" s="513"/>
      <c r="K257" s="513"/>
      <c r="L257" s="1137"/>
      <c r="M257" s="1067">
        <v>93</v>
      </c>
      <c r="N257" s="1067">
        <v>-26</v>
      </c>
      <c r="O257" s="1067">
        <v>60</v>
      </c>
      <c r="P257" s="356">
        <f>Q257-SUM(M257,N257,O257)</f>
        <v>7</v>
      </c>
      <c r="Q257" s="1196">
        <v>134</v>
      </c>
      <c r="R257" s="1067">
        <v>10</v>
      </c>
      <c r="S257" s="1067">
        <v>59</v>
      </c>
      <c r="T257" s="1067">
        <v>25</v>
      </c>
      <c r="U257" s="356">
        <f>V257-SUM(R257,S257,T257)</f>
        <v>-209</v>
      </c>
      <c r="V257" s="1196">
        <v>-115</v>
      </c>
      <c r="W257" s="1067">
        <v>-2</v>
      </c>
      <c r="X257" s="1067">
        <v>0</v>
      </c>
      <c r="Y257" s="1067">
        <v>84</v>
      </c>
      <c r="Z257" s="356">
        <f>AA257-SUM(W257,X257,Y257)</f>
        <v>31</v>
      </c>
      <c r="AA257" s="1196">
        <v>113</v>
      </c>
      <c r="AB257" s="356">
        <f>SUM(AB250:AB254)</f>
        <v>74</v>
      </c>
      <c r="AC257" s="356">
        <f>SUM(AC250:AC254)</f>
        <v>-25</v>
      </c>
      <c r="AD257" s="356">
        <f>SUM(AD250:AD254)</f>
        <v>-6</v>
      </c>
      <c r="AE257" s="356">
        <f>SUM(AE250:AE254)</f>
        <v>188</v>
      </c>
      <c r="AF257" s="1136">
        <f t="shared" si="685" ref="AF257:AM257">SUM(AF250:AF256)</f>
        <v>231</v>
      </c>
      <c r="AG257" s="356">
        <f t="shared" si="685"/>
        <v>-145</v>
      </c>
      <c r="AH257" s="356">
        <f t="shared" si="685"/>
        <v>-18</v>
      </c>
      <c r="AI257" s="356">
        <f t="shared" si="685"/>
        <v>58</v>
      </c>
      <c r="AJ257" s="356">
        <f t="shared" si="685"/>
        <v>-8</v>
      </c>
      <c r="AK257" s="1136">
        <f t="shared" si="685"/>
        <v>-113</v>
      </c>
      <c r="AL257" s="356">
        <f t="shared" si="685"/>
        <v>426</v>
      </c>
      <c r="AM257" s="356">
        <f t="shared" si="685"/>
        <v>-117</v>
      </c>
      <c r="AN257" s="356">
        <f t="shared" si="686" ref="AN257:AW257">SUM(AN250:AN256)</f>
        <v>-43</v>
      </c>
      <c r="AO257" s="356">
        <f t="shared" si="686"/>
        <v>-517</v>
      </c>
      <c r="AP257" s="1136">
        <f t="shared" si="686"/>
        <v>-251</v>
      </c>
      <c r="AQ257" s="356">
        <f t="shared" si="686"/>
        <v>-213</v>
      </c>
      <c r="AR257" s="356">
        <f t="shared" si="686"/>
        <v>-797</v>
      </c>
      <c r="AS257" s="356">
        <f t="shared" si="686"/>
        <v>12</v>
      </c>
      <c r="AT257" s="356">
        <f t="shared" si="686"/>
        <v>-4</v>
      </c>
      <c r="AU257" s="1136">
        <f t="shared" si="686"/>
        <v>-1002</v>
      </c>
      <c r="AV257" s="356">
        <f t="shared" si="686"/>
        <v>13</v>
      </c>
      <c r="AW257" s="356">
        <f t="shared" si="686"/>
        <v>76</v>
      </c>
      <c r="AX257" s="356">
        <f t="shared" si="687" ref="AX257:BJ257">SUM(AX250:AX256)</f>
        <v>27</v>
      </c>
      <c r="AY257" s="356">
        <f t="shared" si="687"/>
        <v>-21</v>
      </c>
      <c r="AZ257" s="1136">
        <f t="shared" si="687"/>
        <v>95</v>
      </c>
      <c r="BA257" s="356">
        <f t="shared" si="688" ref="BA257:BI257">SUM(BA250:BA256)</f>
        <v>35</v>
      </c>
      <c r="BB257" s="356">
        <f>SUM(BB250:BB256)</f>
        <v>2</v>
      </c>
      <c r="BC257" s="356">
        <f t="shared" si="688"/>
        <v>31</v>
      </c>
      <c r="BD257" s="356">
        <f t="shared" si="688"/>
        <v>-25</v>
      </c>
      <c r="BE257" s="1136">
        <f t="shared" si="688"/>
        <v>43</v>
      </c>
      <c r="BF257" s="356">
        <f>SUM(BF250:BF256)</f>
        <v>-11</v>
      </c>
      <c r="BG257" s="356">
        <f>SUM(BG250:BG256)</f>
        <v>6</v>
      </c>
      <c r="BH257" s="873">
        <f>SUM(BH250:BH256)</f>
        <v>13</v>
      </c>
      <c r="BI257" s="513">
        <f t="shared" si="688"/>
        <v>-37.50</v>
      </c>
      <c r="BJ257" s="1137">
        <f t="shared" si="687"/>
        <v>-29.50</v>
      </c>
      <c r="BK257" s="513">
        <f t="shared" si="689" ref="BK257:BR257">SUM(BK250:BK256)</f>
        <v>-21</v>
      </c>
      <c r="BL257" s="513">
        <f t="shared" si="689"/>
        <v>-21</v>
      </c>
      <c r="BM257" s="513">
        <f t="shared" si="689"/>
        <v>-24.50</v>
      </c>
      <c r="BN257" s="513">
        <f t="shared" si="689"/>
        <v>-31</v>
      </c>
      <c r="BO257" s="1137">
        <f t="shared" si="689"/>
        <v>-97.50</v>
      </c>
      <c r="BP257" s="1137">
        <f t="shared" si="689"/>
        <v>-105</v>
      </c>
      <c r="BQ257" s="1137">
        <f t="shared" si="689"/>
        <v>-109.90000000000002</v>
      </c>
      <c r="BR257" s="1137">
        <f t="shared" si="689"/>
        <v>-109.90000000000002</v>
      </c>
      <c r="BS257" s="32"/>
    </row>
    <row r="258" spans="1:71" s="674" customFormat="1" ht="15" hidden="1" outlineLevel="1">
      <c r="A258" s="101" t="s">
        <v>503</v>
      </c>
      <c r="B258" s="509"/>
      <c r="C258" s="1180">
        <f t="shared" si="690" ref="C258:AK258">C249+C257</f>
        <v>519</v>
      </c>
      <c r="D258" s="1180">
        <f t="shared" si="690"/>
        <v>479</v>
      </c>
      <c r="E258" s="1180">
        <f t="shared" si="690"/>
        <v>342</v>
      </c>
      <c r="F258" s="1180">
        <f t="shared" si="690"/>
        <v>488</v>
      </c>
      <c r="G258" s="1180">
        <f t="shared" si="690"/>
        <v>471</v>
      </c>
      <c r="H258" s="287">
        <f t="shared" si="690"/>
        <v>103</v>
      </c>
      <c r="I258" s="287">
        <f t="shared" si="690"/>
        <v>106</v>
      </c>
      <c r="J258" s="287">
        <f t="shared" si="690"/>
        <v>116</v>
      </c>
      <c r="K258" s="287">
        <f t="shared" si="690"/>
        <v>127</v>
      </c>
      <c r="L258" s="1180">
        <f t="shared" si="690"/>
        <v>452</v>
      </c>
      <c r="M258" s="287">
        <f t="shared" si="690"/>
        <v>112</v>
      </c>
      <c r="N258" s="287">
        <f t="shared" si="690"/>
        <v>115</v>
      </c>
      <c r="O258" s="287">
        <f t="shared" si="690"/>
        <v>123</v>
      </c>
      <c r="P258" s="287">
        <f t="shared" si="690"/>
        <v>136</v>
      </c>
      <c r="Q258" s="1180">
        <f t="shared" si="690"/>
        <v>486</v>
      </c>
      <c r="R258" s="287">
        <f t="shared" si="690"/>
        <v>111</v>
      </c>
      <c r="S258" s="287">
        <f t="shared" si="690"/>
        <v>113</v>
      </c>
      <c r="T258" s="287">
        <f t="shared" si="690"/>
        <v>134</v>
      </c>
      <c r="U258" s="287">
        <f t="shared" si="690"/>
        <v>176</v>
      </c>
      <c r="V258" s="1180">
        <f t="shared" si="690"/>
        <v>534</v>
      </c>
      <c r="W258" s="287">
        <f t="shared" si="690"/>
        <v>151</v>
      </c>
      <c r="X258" s="287">
        <f t="shared" si="690"/>
        <v>145</v>
      </c>
      <c r="Y258" s="287">
        <f t="shared" si="690"/>
        <v>95</v>
      </c>
      <c r="Z258" s="287">
        <f t="shared" si="690"/>
        <v>197</v>
      </c>
      <c r="AA258" s="1180">
        <f t="shared" si="690"/>
        <v>588</v>
      </c>
      <c r="AB258" s="287">
        <f t="shared" si="690"/>
        <v>219</v>
      </c>
      <c r="AC258" s="287">
        <f t="shared" si="690"/>
        <v>185</v>
      </c>
      <c r="AD258" s="287">
        <f t="shared" si="690"/>
        <v>198</v>
      </c>
      <c r="AE258" s="287">
        <f t="shared" si="690"/>
        <v>159</v>
      </c>
      <c r="AF258" s="1180">
        <f t="shared" si="690"/>
        <v>761</v>
      </c>
      <c r="AG258" s="287">
        <f t="shared" si="690"/>
        <v>184</v>
      </c>
      <c r="AH258" s="287">
        <f t="shared" si="690"/>
        <v>192</v>
      </c>
      <c r="AI258" s="287">
        <f t="shared" si="690"/>
        <v>205</v>
      </c>
      <c r="AJ258" s="287">
        <f t="shared" si="690"/>
        <v>203</v>
      </c>
      <c r="AK258" s="1180">
        <f t="shared" si="690"/>
        <v>784</v>
      </c>
      <c r="AL258" s="287">
        <f t="shared" si="691" ref="AL258:AQ258">AL249+AL257</f>
        <v>125</v>
      </c>
      <c r="AM258" s="287">
        <f t="shared" si="691"/>
        <v>60</v>
      </c>
      <c r="AN258" s="287">
        <f>AN249+AN257</f>
        <v>121</v>
      </c>
      <c r="AO258" s="287">
        <f t="shared" si="691"/>
        <v>175</v>
      </c>
      <c r="AP258" s="1180">
        <f t="shared" si="691"/>
        <v>481</v>
      </c>
      <c r="AQ258" s="287">
        <f t="shared" si="691"/>
        <v>206</v>
      </c>
      <c r="AR258" s="287">
        <f t="shared" si="692" ref="AR258:AW258">AR249+AR257</f>
        <v>205</v>
      </c>
      <c r="AS258" s="287">
        <f t="shared" si="692"/>
        <v>231</v>
      </c>
      <c r="AT258" s="287">
        <f t="shared" si="692"/>
        <v>351</v>
      </c>
      <c r="AU258" s="1180">
        <f t="shared" si="692"/>
        <v>993</v>
      </c>
      <c r="AV258" s="287">
        <f t="shared" si="692"/>
        <v>303</v>
      </c>
      <c r="AW258" s="287">
        <f t="shared" si="692"/>
        <v>243</v>
      </c>
      <c r="AX258" s="287">
        <f t="shared" si="693" ref="AX258:BJ258">AX249+AX257</f>
        <v>192</v>
      </c>
      <c r="AY258" s="287">
        <f t="shared" si="693"/>
        <v>255</v>
      </c>
      <c r="AZ258" s="1180">
        <f t="shared" si="693"/>
        <v>993</v>
      </c>
      <c r="BA258" s="287">
        <f t="shared" si="694" ref="BA258:BI258">BA249+BA257</f>
        <v>247</v>
      </c>
      <c r="BB258" s="287">
        <f t="shared" si="694"/>
        <v>202</v>
      </c>
      <c r="BC258" s="287">
        <f t="shared" si="694"/>
        <v>208</v>
      </c>
      <c r="BD258" s="287">
        <f t="shared" si="694"/>
        <v>238</v>
      </c>
      <c r="BE258" s="1180">
        <f t="shared" si="694"/>
        <v>895</v>
      </c>
      <c r="BF258" s="287">
        <f>BF249+BF257</f>
        <v>231</v>
      </c>
      <c r="BG258" s="287">
        <f>BG249+BG257</f>
        <v>215</v>
      </c>
      <c r="BH258" s="888">
        <f>BH249+BH257</f>
        <v>194</v>
      </c>
      <c r="BI258" s="159">
        <f t="shared" si="694"/>
        <v>278.00799804918023</v>
      </c>
      <c r="BJ258" s="1148">
        <f t="shared" si="693"/>
        <v>918.00799804918029</v>
      </c>
      <c r="BK258" s="159">
        <f t="shared" si="695" ref="BK258:BR258">BK249+BK257</f>
        <v>272.36198574945206</v>
      </c>
      <c r="BL258" s="159">
        <f t="shared" si="695"/>
        <v>238.77245142082188</v>
      </c>
      <c r="BM258" s="159">
        <f t="shared" si="695"/>
        <v>255.31663242726023</v>
      </c>
      <c r="BN258" s="159">
        <f t="shared" si="695"/>
        <v>306.18148403580813</v>
      </c>
      <c r="BO258" s="1148">
        <f t="shared" si="695"/>
        <v>1072.6325536333422</v>
      </c>
      <c r="BP258" s="1147">
        <f t="shared" si="695"/>
        <v>1157.6980643995962</v>
      </c>
      <c r="BQ258" s="1147">
        <f t="shared" si="695"/>
        <v>1454.3660318054972</v>
      </c>
      <c r="BR258" s="1148">
        <f t="shared" si="695"/>
        <v>1525.8135375929205</v>
      </c>
      <c r="BS258" s="37"/>
    </row>
    <row r="259" spans="1:71" s="672" customFormat="1" ht="15" hidden="1" outlineLevel="1">
      <c r="A259" s="501"/>
      <c r="B259" s="514"/>
      <c r="C259" s="1181"/>
      <c r="D259" s="1181"/>
      <c r="E259" s="1181"/>
      <c r="F259" s="1181"/>
      <c r="G259" s="1181"/>
      <c r="H259" s="976"/>
      <c r="I259" s="976"/>
      <c r="J259" s="976"/>
      <c r="K259" s="976"/>
      <c r="L259" s="1181"/>
      <c r="M259" s="976"/>
      <c r="N259" s="976"/>
      <c r="O259" s="976"/>
      <c r="P259" s="976"/>
      <c r="Q259" s="1181"/>
      <c r="R259" s="976"/>
      <c r="S259" s="976"/>
      <c r="T259" s="976"/>
      <c r="U259" s="976"/>
      <c r="V259" s="1181"/>
      <c r="W259" s="976"/>
      <c r="X259" s="976"/>
      <c r="Y259" s="976"/>
      <c r="Z259" s="976"/>
      <c r="AA259" s="1181"/>
      <c r="AB259" s="976"/>
      <c r="AC259" s="976"/>
      <c r="AD259" s="976"/>
      <c r="AE259" s="976"/>
      <c r="AF259" s="1181"/>
      <c r="AG259" s="976"/>
      <c r="AH259" s="976"/>
      <c r="AI259" s="976"/>
      <c r="AJ259" s="976"/>
      <c r="AK259" s="1181"/>
      <c r="AL259" s="976"/>
      <c r="AM259" s="976"/>
      <c r="AN259" s="976"/>
      <c r="AO259" s="976"/>
      <c r="AP259" s="1181"/>
      <c r="AQ259" s="976"/>
      <c r="AR259" s="976"/>
      <c r="AS259" s="976"/>
      <c r="AT259" s="976"/>
      <c r="AU259" s="1181"/>
      <c r="AV259" s="976"/>
      <c r="AW259" s="976"/>
      <c r="AX259" s="976"/>
      <c r="AY259" s="976"/>
      <c r="AZ259" s="1181"/>
      <c r="BA259" s="976"/>
      <c r="BB259" s="976"/>
      <c r="BC259" s="976"/>
      <c r="BD259" s="976"/>
      <c r="BE259" s="1181"/>
      <c r="BF259" s="976"/>
      <c r="BG259" s="976"/>
      <c r="BH259" s="977"/>
      <c r="BI259" s="978"/>
      <c r="BJ259" s="1182"/>
      <c r="BK259" s="978"/>
      <c r="BL259" s="978"/>
      <c r="BM259" s="978"/>
      <c r="BN259" s="978"/>
      <c r="BO259" s="1182"/>
      <c r="BP259" s="1181"/>
      <c r="BQ259" s="1181"/>
      <c r="BR259" s="1182"/>
      <c r="BS259" s="456"/>
    </row>
    <row r="260" spans="1:71" s="674" customFormat="1" ht="15" hidden="1" outlineLevel="1">
      <c r="A260" s="101" t="s">
        <v>197</v>
      </c>
      <c r="B260" s="509"/>
      <c r="C260" s="1194">
        <v>36</v>
      </c>
      <c r="D260" s="1194">
        <v>49</v>
      </c>
      <c r="E260" s="1194">
        <v>49</v>
      </c>
      <c r="F260" s="1194">
        <v>-17</v>
      </c>
      <c r="G260" s="1194">
        <v>-77</v>
      </c>
      <c r="H260" s="426"/>
      <c r="I260" s="426"/>
      <c r="J260" s="426"/>
      <c r="K260" s="426"/>
      <c r="L260" s="1194">
        <v>-53</v>
      </c>
      <c r="M260" s="426"/>
      <c r="N260" s="426"/>
      <c r="O260" s="426"/>
      <c r="P260" s="426"/>
      <c r="Q260" s="1194">
        <v>-29</v>
      </c>
      <c r="R260" s="426"/>
      <c r="S260" s="426"/>
      <c r="T260" s="426"/>
      <c r="U260" s="426"/>
      <c r="V260" s="1194">
        <v>-192</v>
      </c>
      <c r="W260" s="426"/>
      <c r="X260" s="426"/>
      <c r="Y260" s="426"/>
      <c r="Z260" s="426"/>
      <c r="AA260" s="1194">
        <v>88</v>
      </c>
      <c r="AB260" s="426"/>
      <c r="AC260" s="426"/>
      <c r="AD260" s="426"/>
      <c r="AE260" s="426"/>
      <c r="AF260" s="1194">
        <v>-82</v>
      </c>
      <c r="AG260" s="426"/>
      <c r="AH260" s="426"/>
      <c r="AI260" s="426"/>
      <c r="AJ260" s="426"/>
      <c r="AK260" s="1194">
        <v>-23</v>
      </c>
      <c r="AL260" s="426"/>
      <c r="AM260" s="426"/>
      <c r="AN260" s="426"/>
      <c r="AO260" s="426"/>
      <c r="AP260" s="1194">
        <v>17</v>
      </c>
      <c r="AQ260" s="426"/>
      <c r="AR260" s="426"/>
      <c r="AS260" s="426"/>
      <c r="AT260" s="426"/>
      <c r="AU260" s="1194">
        <v>84</v>
      </c>
      <c r="AV260" s="426"/>
      <c r="AW260" s="426"/>
      <c r="AX260" s="426"/>
      <c r="AY260" s="426"/>
      <c r="AZ260" s="1194">
        <v>22</v>
      </c>
      <c r="BA260" s="426"/>
      <c r="BB260" s="426"/>
      <c r="BC260" s="426"/>
      <c r="BD260" s="426"/>
      <c r="BE260" s="1194">
        <v>37</v>
      </c>
      <c r="BF260" s="426"/>
      <c r="BG260" s="426"/>
      <c r="BH260" s="487"/>
      <c r="BI260" s="159"/>
      <c r="BJ260" s="1148"/>
      <c r="BK260" s="159"/>
      <c r="BL260" s="159"/>
      <c r="BM260" s="159"/>
      <c r="BN260" s="159"/>
      <c r="BO260" s="1148"/>
      <c r="BP260" s="1147"/>
      <c r="BQ260" s="1147"/>
      <c r="BR260" s="1148"/>
      <c r="BS260" s="37"/>
    </row>
    <row r="261" spans="1:71" s="672" customFormat="1" ht="15" collapsed="1">
      <c r="A261" s="501"/>
      <c r="B261" s="514"/>
      <c r="C261" s="1181"/>
      <c r="D261" s="1181"/>
      <c r="E261" s="1181"/>
      <c r="F261" s="1181"/>
      <c r="G261" s="1181"/>
      <c r="H261" s="976"/>
      <c r="I261" s="976"/>
      <c r="J261" s="976"/>
      <c r="K261" s="976"/>
      <c r="L261" s="1181"/>
      <c r="M261" s="976"/>
      <c r="N261" s="976"/>
      <c r="O261" s="976"/>
      <c r="P261" s="976"/>
      <c r="Q261" s="1181"/>
      <c r="R261" s="976"/>
      <c r="S261" s="976"/>
      <c r="T261" s="976"/>
      <c r="U261" s="976"/>
      <c r="V261" s="1181"/>
      <c r="W261" s="976"/>
      <c r="X261" s="976"/>
      <c r="Y261" s="976"/>
      <c r="Z261" s="976"/>
      <c r="AA261" s="1181"/>
      <c r="AB261" s="976"/>
      <c r="AC261" s="976"/>
      <c r="AD261" s="976"/>
      <c r="AE261" s="976"/>
      <c r="AF261" s="1181"/>
      <c r="AG261" s="976"/>
      <c r="AH261" s="976"/>
      <c r="AI261" s="976"/>
      <c r="AJ261" s="976"/>
      <c r="AK261" s="1181"/>
      <c r="AL261" s="976"/>
      <c r="AM261" s="976"/>
      <c r="AN261" s="976"/>
      <c r="AO261" s="976"/>
      <c r="AP261" s="1181"/>
      <c r="AQ261" s="976"/>
      <c r="AR261" s="976"/>
      <c r="AS261" s="976"/>
      <c r="AT261" s="976"/>
      <c r="AU261" s="1181"/>
      <c r="AV261" s="976"/>
      <c r="AW261" s="976"/>
      <c r="AX261" s="976"/>
      <c r="AY261" s="976"/>
      <c r="AZ261" s="1181"/>
      <c r="BA261" s="976"/>
      <c r="BB261" s="976"/>
      <c r="BC261" s="976"/>
      <c r="BD261" s="976"/>
      <c r="BE261" s="1181"/>
      <c r="BF261" s="976"/>
      <c r="BG261" s="976"/>
      <c r="BH261" s="977"/>
      <c r="BI261" s="978"/>
      <c r="BJ261" s="1182"/>
      <c r="BK261" s="978"/>
      <c r="BL261" s="978"/>
      <c r="BM261" s="978"/>
      <c r="BN261" s="978"/>
      <c r="BO261" s="1182"/>
      <c r="BP261" s="1181"/>
      <c r="BQ261" s="1181"/>
      <c r="BR261" s="1182"/>
      <c r="BS261" s="456"/>
    </row>
    <row r="262" spans="1:71" s="674" customFormat="1" ht="15">
      <c r="A262" s="434" t="s">
        <v>198</v>
      </c>
      <c r="B262" s="376"/>
      <c r="C262" s="376"/>
      <c r="D262" s="376"/>
      <c r="E262" s="376"/>
      <c r="F262" s="376"/>
      <c r="G262" s="376"/>
      <c r="H262" s="376"/>
      <c r="I262" s="376"/>
      <c r="J262" s="376"/>
      <c r="K262" s="376"/>
      <c r="L262" s="376"/>
      <c r="M262" s="376"/>
      <c r="N262" s="376"/>
      <c r="O262" s="376"/>
      <c r="P262" s="376"/>
      <c r="Q262" s="376"/>
      <c r="R262" s="376"/>
      <c r="S262" s="376"/>
      <c r="T262" s="376"/>
      <c r="U262" s="376"/>
      <c r="V262" s="376"/>
      <c r="W262" s="376"/>
      <c r="X262" s="376"/>
      <c r="Y262" s="376"/>
      <c r="Z262" s="376"/>
      <c r="AA262" s="376"/>
      <c r="AB262" s="376"/>
      <c r="AC262" s="376"/>
      <c r="AD262" s="376"/>
      <c r="AE262" s="376"/>
      <c r="AF262" s="376"/>
      <c r="AG262" s="376"/>
      <c r="AH262" s="376"/>
      <c r="AI262" s="376"/>
      <c r="AJ262" s="376"/>
      <c r="AK262" s="376"/>
      <c r="AL262" s="376"/>
      <c r="AM262" s="376"/>
      <c r="AN262" s="376"/>
      <c r="AO262" s="376"/>
      <c r="AP262" s="376"/>
      <c r="AQ262" s="376"/>
      <c r="AR262" s="376"/>
      <c r="AS262" s="376"/>
      <c r="AT262" s="376"/>
      <c r="AU262" s="376"/>
      <c r="AV262" s="376"/>
      <c r="AW262" s="376"/>
      <c r="AX262" s="376"/>
      <c r="AY262" s="376"/>
      <c r="AZ262" s="376"/>
      <c r="BA262" s="376"/>
      <c r="BB262" s="376"/>
      <c r="BC262" s="376"/>
      <c r="BD262" s="376"/>
      <c r="BE262" s="376"/>
      <c r="BF262" s="376"/>
      <c r="BG262" s="376"/>
      <c r="BH262" s="379"/>
      <c r="BI262" s="376"/>
      <c r="BJ262" s="376"/>
      <c r="BK262" s="376"/>
      <c r="BL262" s="376"/>
      <c r="BM262" s="376"/>
      <c r="BN262" s="376"/>
      <c r="BO262" s="376"/>
      <c r="BP262" s="376"/>
      <c r="BQ262" s="376"/>
      <c r="BR262" s="376"/>
      <c r="BS262" s="37"/>
    </row>
    <row r="263" spans="1:71" s="673" customFormat="1" ht="15">
      <c r="A263" s="114" t="s">
        <v>199</v>
      </c>
      <c r="B263" s="515"/>
      <c r="C263" s="1159">
        <f t="shared" si="696" ref="C263:AQ263">C220+C221</f>
        <v>2856</v>
      </c>
      <c r="D263" s="1159">
        <f t="shared" si="696"/>
        <v>3001</v>
      </c>
      <c r="E263" s="1159">
        <f t="shared" si="696"/>
        <v>3189</v>
      </c>
      <c r="F263" s="1159">
        <f t="shared" si="696"/>
        <v>3165</v>
      </c>
      <c r="G263" s="1159">
        <f t="shared" si="696"/>
        <v>3318</v>
      </c>
      <c r="H263" s="125">
        <f t="shared" si="696"/>
        <v>782</v>
      </c>
      <c r="I263" s="125">
        <f t="shared" si="696"/>
        <v>958</v>
      </c>
      <c r="J263" s="125">
        <f t="shared" si="696"/>
        <v>1159</v>
      </c>
      <c r="K263" s="125">
        <f t="shared" si="696"/>
        <v>1087</v>
      </c>
      <c r="L263" s="1159">
        <f t="shared" si="696"/>
        <v>3986</v>
      </c>
      <c r="M263" s="125">
        <f t="shared" si="696"/>
        <v>971</v>
      </c>
      <c r="N263" s="125">
        <f t="shared" si="696"/>
        <v>1012</v>
      </c>
      <c r="O263" s="125">
        <f t="shared" si="696"/>
        <v>1201</v>
      </c>
      <c r="P263" s="125">
        <f t="shared" si="696"/>
        <v>1144</v>
      </c>
      <c r="Q263" s="1159">
        <f t="shared" si="696"/>
        <v>4328</v>
      </c>
      <c r="R263" s="125">
        <f t="shared" si="696"/>
        <v>1004</v>
      </c>
      <c r="S263" s="125">
        <f t="shared" si="696"/>
        <v>1033</v>
      </c>
      <c r="T263" s="125">
        <f t="shared" si="696"/>
        <v>1165</v>
      </c>
      <c r="U263" s="125">
        <f t="shared" si="696"/>
        <v>1150</v>
      </c>
      <c r="V263" s="1159">
        <f t="shared" si="696"/>
        <v>4352</v>
      </c>
      <c r="W263" s="125">
        <f t="shared" si="696"/>
        <v>1028</v>
      </c>
      <c r="X263" s="125">
        <f t="shared" si="696"/>
        <v>1070</v>
      </c>
      <c r="Y263" s="125">
        <f t="shared" si="696"/>
        <v>1273</v>
      </c>
      <c r="Z263" s="125">
        <f t="shared" si="696"/>
        <v>1230</v>
      </c>
      <c r="AA263" s="1159">
        <f t="shared" si="696"/>
        <v>4601</v>
      </c>
      <c r="AB263" s="125">
        <f t="shared" si="696"/>
        <v>1113</v>
      </c>
      <c r="AC263" s="125">
        <f t="shared" si="696"/>
        <v>1167</v>
      </c>
      <c r="AD263" s="125">
        <f t="shared" si="696"/>
        <v>1333</v>
      </c>
      <c r="AE263" s="125">
        <f t="shared" si="696"/>
        <v>1276</v>
      </c>
      <c r="AF263" s="1159">
        <f t="shared" si="696"/>
        <v>4889</v>
      </c>
      <c r="AG263" s="125">
        <f t="shared" si="696"/>
        <v>1179</v>
      </c>
      <c r="AH263" s="125">
        <f t="shared" si="696"/>
        <v>1205</v>
      </c>
      <c r="AI263" s="125">
        <f t="shared" si="696"/>
        <v>1448</v>
      </c>
      <c r="AJ263" s="125">
        <f t="shared" si="696"/>
        <v>1375</v>
      </c>
      <c r="AK263" s="1159">
        <f t="shared" si="696"/>
        <v>5207</v>
      </c>
      <c r="AL263" s="125">
        <f>AL220+AL221</f>
        <v>1209</v>
      </c>
      <c r="AM263" s="125">
        <f>AM220+AM221</f>
        <v>1184</v>
      </c>
      <c r="AN263" s="125">
        <f>AN220+AN221</f>
        <v>1381</v>
      </c>
      <c r="AO263" s="125">
        <f>AO220+AO221</f>
        <v>1325</v>
      </c>
      <c r="AP263" s="1159">
        <f>AP220+AP221</f>
        <v>5099</v>
      </c>
      <c r="AQ263" s="125">
        <f t="shared" si="696"/>
        <v>1173</v>
      </c>
      <c r="AR263" s="125">
        <f t="shared" si="697" ref="AR263:AW263">AR220+AR221</f>
        <v>1250</v>
      </c>
      <c r="AS263" s="125">
        <f t="shared" si="697"/>
        <v>1529</v>
      </c>
      <c r="AT263" s="125">
        <f t="shared" si="697"/>
        <v>1452</v>
      </c>
      <c r="AU263" s="1159">
        <f t="shared" si="697"/>
        <v>5404</v>
      </c>
      <c r="AV263" s="125">
        <f t="shared" si="697"/>
        <v>1302</v>
      </c>
      <c r="AW263" s="125">
        <f t="shared" si="697"/>
        <v>1393</v>
      </c>
      <c r="AX263" s="125">
        <f>AX220+AX221</f>
        <v>1767</v>
      </c>
      <c r="AY263" s="125">
        <f>AY220+AY221</f>
        <v>1623</v>
      </c>
      <c r="AZ263" s="1159">
        <f>AZ220+AZ221</f>
        <v>6085</v>
      </c>
      <c r="BA263" s="125">
        <f t="shared" si="698" ref="BA263:BB263">BA220+BA221</f>
        <v>1437</v>
      </c>
      <c r="BB263" s="125">
        <f t="shared" si="698"/>
        <v>1507</v>
      </c>
      <c r="BC263" s="125">
        <f t="shared" si="699" ref="BC263:BH263">BC220+BC221</f>
        <v>1855</v>
      </c>
      <c r="BD263" s="125">
        <f t="shared" si="699"/>
        <v>1732</v>
      </c>
      <c r="BE263" s="1159">
        <f t="shared" si="699"/>
        <v>6531</v>
      </c>
      <c r="BF263" s="125">
        <f t="shared" si="699"/>
        <v>1546</v>
      </c>
      <c r="BG263" s="125">
        <f t="shared" si="699"/>
        <v>1585</v>
      </c>
      <c r="BH263" s="880">
        <f t="shared" si="699"/>
        <v>2055</v>
      </c>
      <c r="BI263" s="617">
        <f>BI41+BI204</f>
        <v>1433.2635999999998</v>
      </c>
      <c r="BJ263" s="1157">
        <f>SUM(BF263,BG263,BH263,BI263)</f>
        <v>6619.2636000000002</v>
      </c>
      <c r="BK263" s="617">
        <f>BK41+BK204</f>
        <v>1534.7327150000001</v>
      </c>
      <c r="BL263" s="617">
        <f>BL41+BL204</f>
        <v>1549.1004500000001</v>
      </c>
      <c r="BM263" s="617">
        <f>BM41+BM204</f>
        <v>1701.5284800000002</v>
      </c>
      <c r="BN263" s="617">
        <f>BN41+BN204</f>
        <v>1565.3297049999996</v>
      </c>
      <c r="BO263" s="1157">
        <f>SUM(BK263,BL263,BM263,BN263)</f>
        <v>6350.6913499999991</v>
      </c>
      <c r="BP263" s="1157">
        <f>BP41+BP204</f>
        <v>7176.3899206349997</v>
      </c>
      <c r="BQ263" s="1157">
        <f>BQ41+BQ204</f>
        <v>9312.2284993391986</v>
      </c>
      <c r="BR263" s="1157">
        <f>BR41+BR204</f>
        <v>9811.1273938486429</v>
      </c>
      <c r="BS263" s="32"/>
    </row>
    <row r="264" spans="1:71" s="673" customFormat="1" ht="15">
      <c r="A264" s="114" t="s">
        <v>200</v>
      </c>
      <c r="B264" s="417"/>
      <c r="C264" s="1140">
        <f t="shared" si="700" ref="C264:AQ264">C222</f>
        <v>1200</v>
      </c>
      <c r="D264" s="1140">
        <f t="shared" si="700"/>
        <v>1191</v>
      </c>
      <c r="E264" s="1140">
        <f t="shared" si="700"/>
        <v>1241</v>
      </c>
      <c r="F264" s="1140">
        <f t="shared" si="700"/>
        <v>1301</v>
      </c>
      <c r="G264" s="1140">
        <f t="shared" si="700"/>
        <v>1346</v>
      </c>
      <c r="H264" s="288">
        <f t="shared" si="700"/>
        <v>361</v>
      </c>
      <c r="I264" s="288">
        <f t="shared" si="700"/>
        <v>379</v>
      </c>
      <c r="J264" s="288">
        <f t="shared" si="700"/>
        <v>377</v>
      </c>
      <c r="K264" s="288">
        <f t="shared" si="700"/>
        <v>384</v>
      </c>
      <c r="L264" s="1140">
        <f t="shared" si="700"/>
        <v>1501</v>
      </c>
      <c r="M264" s="288">
        <f t="shared" si="700"/>
        <v>388</v>
      </c>
      <c r="N264" s="288">
        <f t="shared" si="700"/>
        <v>404</v>
      </c>
      <c r="O264" s="288">
        <f t="shared" si="700"/>
        <v>425</v>
      </c>
      <c r="P264" s="288">
        <f t="shared" si="700"/>
        <v>416</v>
      </c>
      <c r="Q264" s="1140">
        <f t="shared" si="700"/>
        <v>1633</v>
      </c>
      <c r="R264" s="288">
        <f t="shared" si="700"/>
        <v>411</v>
      </c>
      <c r="S264" s="324">
        <f t="shared" si="700"/>
        <v>423</v>
      </c>
      <c r="T264" s="288">
        <f t="shared" si="700"/>
        <v>433</v>
      </c>
      <c r="U264" s="288">
        <f t="shared" si="700"/>
        <v>429</v>
      </c>
      <c r="V264" s="1140">
        <f t="shared" si="700"/>
        <v>1696</v>
      </c>
      <c r="W264" s="288">
        <f t="shared" si="700"/>
        <v>435</v>
      </c>
      <c r="X264" s="324">
        <f t="shared" si="700"/>
        <v>460</v>
      </c>
      <c r="Y264" s="288">
        <f t="shared" si="700"/>
        <v>471</v>
      </c>
      <c r="Z264" s="288">
        <f t="shared" si="700"/>
        <v>465</v>
      </c>
      <c r="AA264" s="1140">
        <f t="shared" si="700"/>
        <v>1831</v>
      </c>
      <c r="AB264" s="288">
        <f t="shared" si="700"/>
        <v>495</v>
      </c>
      <c r="AC264" s="324">
        <f t="shared" si="700"/>
        <v>530</v>
      </c>
      <c r="AD264" s="288">
        <f t="shared" si="700"/>
        <v>527</v>
      </c>
      <c r="AE264" s="288">
        <f t="shared" si="700"/>
        <v>542</v>
      </c>
      <c r="AF264" s="1140">
        <f t="shared" si="700"/>
        <v>2094</v>
      </c>
      <c r="AG264" s="288">
        <f t="shared" si="700"/>
        <v>542</v>
      </c>
      <c r="AH264" s="324">
        <f t="shared" si="700"/>
        <v>580</v>
      </c>
      <c r="AI264" s="288">
        <f t="shared" si="700"/>
        <v>588</v>
      </c>
      <c r="AJ264" s="288">
        <f t="shared" si="700"/>
        <v>593</v>
      </c>
      <c r="AK264" s="1140">
        <f t="shared" si="700"/>
        <v>2303</v>
      </c>
      <c r="AL264" s="288">
        <f>AL222</f>
        <v>104</v>
      </c>
      <c r="AM264" s="324">
        <f>AM222</f>
        <v>88</v>
      </c>
      <c r="AN264" s="288">
        <f>AN222</f>
        <v>122</v>
      </c>
      <c r="AO264" s="288">
        <f>AO222</f>
        <v>147</v>
      </c>
      <c r="AP264" s="1140">
        <f>AP222</f>
        <v>461</v>
      </c>
      <c r="AQ264" s="288">
        <f t="shared" si="700"/>
        <v>188</v>
      </c>
      <c r="AR264" s="324">
        <f t="shared" si="701" ref="AR264:AW264">AR222</f>
        <v>164</v>
      </c>
      <c r="AS264" s="288">
        <f t="shared" si="701"/>
        <v>169</v>
      </c>
      <c r="AT264" s="288">
        <f t="shared" si="701"/>
        <v>209</v>
      </c>
      <c r="AU264" s="1140">
        <f t="shared" si="701"/>
        <v>730</v>
      </c>
      <c r="AV264" s="288">
        <f t="shared" si="701"/>
        <v>230</v>
      </c>
      <c r="AW264" s="324">
        <f t="shared" si="701"/>
        <v>168</v>
      </c>
      <c r="AX264" s="288">
        <f>AX222</f>
        <v>151</v>
      </c>
      <c r="AY264" s="288">
        <f>AY222</f>
        <v>168</v>
      </c>
      <c r="AZ264" s="1140">
        <f>AZ222</f>
        <v>717</v>
      </c>
      <c r="BA264" s="288">
        <f t="shared" si="702" ref="BA264:BB264">BA222</f>
        <v>217</v>
      </c>
      <c r="BB264" s="324">
        <f t="shared" si="702"/>
        <v>198</v>
      </c>
      <c r="BC264" s="288">
        <f t="shared" si="703" ref="BC264:BH264">BC222</f>
        <v>168</v>
      </c>
      <c r="BD264" s="288">
        <f t="shared" si="703"/>
        <v>159</v>
      </c>
      <c r="BE264" s="1140">
        <f t="shared" si="703"/>
        <v>742</v>
      </c>
      <c r="BF264" s="288">
        <f t="shared" si="703"/>
        <v>198</v>
      </c>
      <c r="BG264" s="324">
        <f t="shared" si="703"/>
        <v>188</v>
      </c>
      <c r="BH264" s="875">
        <f t="shared" si="703"/>
        <v>200</v>
      </c>
      <c r="BI264" s="171">
        <f>BI199</f>
        <v>194.23712923497268</v>
      </c>
      <c r="BJ264" s="1197">
        <f>SUM(BF264,BG264,BH264,BI264)</f>
        <v>780.23712923497271</v>
      </c>
      <c r="BK264" s="171">
        <f>BK199</f>
        <v>194.8707311232877</v>
      </c>
      <c r="BL264" s="171">
        <f>BL199</f>
        <v>199.13215263287671</v>
      </c>
      <c r="BM264" s="171">
        <f>BM199</f>
        <v>203.70026183013698</v>
      </c>
      <c r="BN264" s="171">
        <f>BN199</f>
        <v>200.28270518904114</v>
      </c>
      <c r="BO264" s="1197">
        <f>SUM(BK264,BL264,BM264,BN264)</f>
        <v>797.98585077534256</v>
      </c>
      <c r="BP264" s="1198">
        <f>BP199</f>
        <v>820.34143321931174</v>
      </c>
      <c r="BQ264" s="1198">
        <f>BQ199</f>
        <v>844.57406373145443</v>
      </c>
      <c r="BR264" s="1197">
        <f>BR199</f>
        <v>870.81034001777346</v>
      </c>
      <c r="BS264" s="32"/>
    </row>
    <row r="265" spans="1:71" s="673" customFormat="1" ht="15">
      <c r="A265" s="114" t="s">
        <v>201</v>
      </c>
      <c r="B265" s="417"/>
      <c r="C265" s="1140">
        <f t="shared" si="704" ref="C265:AQ265">C223+C224</f>
        <v>38</v>
      </c>
      <c r="D265" s="1140">
        <f t="shared" si="704"/>
        <v>88</v>
      </c>
      <c r="E265" s="1140">
        <f t="shared" si="704"/>
        <v>73</v>
      </c>
      <c r="F265" s="1140">
        <f t="shared" si="704"/>
        <v>371</v>
      </c>
      <c r="G265" s="1140">
        <f t="shared" si="704"/>
        <v>217</v>
      </c>
      <c r="H265" s="288">
        <f t="shared" si="704"/>
        <v>19</v>
      </c>
      <c r="I265" s="288">
        <f t="shared" si="704"/>
        <v>12</v>
      </c>
      <c r="J265" s="288">
        <f t="shared" si="704"/>
        <v>13</v>
      </c>
      <c r="K265" s="288">
        <f t="shared" si="704"/>
        <v>8</v>
      </c>
      <c r="L265" s="1140">
        <f t="shared" si="704"/>
        <v>52</v>
      </c>
      <c r="M265" s="288">
        <f t="shared" si="704"/>
        <v>-143</v>
      </c>
      <c r="N265" s="288">
        <f t="shared" si="704"/>
        <v>-1</v>
      </c>
      <c r="O265" s="288">
        <f t="shared" si="704"/>
        <v>-11</v>
      </c>
      <c r="P265" s="288">
        <f t="shared" si="704"/>
        <v>-25</v>
      </c>
      <c r="Q265" s="1140">
        <f t="shared" si="704"/>
        <v>-180</v>
      </c>
      <c r="R265" s="288">
        <f t="shared" si="704"/>
        <v>-18</v>
      </c>
      <c r="S265" s="324">
        <f t="shared" si="704"/>
        <v>-14</v>
      </c>
      <c r="T265" s="288">
        <f t="shared" si="704"/>
        <v>2</v>
      </c>
      <c r="U265" s="288">
        <f t="shared" si="704"/>
        <v>51</v>
      </c>
      <c r="V265" s="1140">
        <f t="shared" si="704"/>
        <v>21</v>
      </c>
      <c r="W265" s="288">
        <f t="shared" si="704"/>
        <v>3</v>
      </c>
      <c r="X265" s="324">
        <f t="shared" si="704"/>
        <v>8</v>
      </c>
      <c r="Y265" s="288">
        <f t="shared" si="704"/>
        <v>-12</v>
      </c>
      <c r="Z265" s="288">
        <f t="shared" si="704"/>
        <v>6</v>
      </c>
      <c r="AA265" s="1140">
        <f t="shared" si="704"/>
        <v>5</v>
      </c>
      <c r="AB265" s="288">
        <f t="shared" si="704"/>
        <v>-93</v>
      </c>
      <c r="AC265" s="324">
        <f t="shared" si="704"/>
        <v>31</v>
      </c>
      <c r="AD265" s="288">
        <f t="shared" si="704"/>
        <v>34</v>
      </c>
      <c r="AE265" s="288">
        <f t="shared" si="704"/>
        <v>-238</v>
      </c>
      <c r="AF265" s="1140">
        <f t="shared" si="704"/>
        <v>-266</v>
      </c>
      <c r="AG265" s="288">
        <f t="shared" si="704"/>
        <v>184</v>
      </c>
      <c r="AH265" s="324">
        <f t="shared" si="704"/>
        <v>56</v>
      </c>
      <c r="AI265" s="288">
        <f t="shared" si="704"/>
        <v>-18</v>
      </c>
      <c r="AJ265" s="288">
        <f t="shared" si="704"/>
        <v>65</v>
      </c>
      <c r="AK265" s="1140">
        <f t="shared" si="704"/>
        <v>287</v>
      </c>
      <c r="AL265" s="288">
        <f>AL223+AL224</f>
        <v>-328</v>
      </c>
      <c r="AM265" s="324">
        <f>AM223+AM224</f>
        <v>108</v>
      </c>
      <c r="AN265" s="288">
        <f>AN223+AN224</f>
        <v>-7</v>
      </c>
      <c r="AO265" s="288">
        <f>AO223+AO224</f>
        <v>175</v>
      </c>
      <c r="AP265" s="1140">
        <f>AP223+AP224</f>
        <v>-52</v>
      </c>
      <c r="AQ265" s="288">
        <f t="shared" si="704"/>
        <v>77</v>
      </c>
      <c r="AR265" s="324">
        <f t="shared" si="705" ref="AR265:AW265">AR223+AR224</f>
        <v>47</v>
      </c>
      <c r="AS265" s="288">
        <f t="shared" si="705"/>
        <v>-17</v>
      </c>
      <c r="AT265" s="288">
        <f t="shared" si="705"/>
        <v>7</v>
      </c>
      <c r="AU265" s="1140">
        <f t="shared" si="705"/>
        <v>114</v>
      </c>
      <c r="AV265" s="288">
        <f t="shared" si="705"/>
        <v>-15</v>
      </c>
      <c r="AW265" s="324">
        <f t="shared" si="705"/>
        <v>-93</v>
      </c>
      <c r="AX265" s="288">
        <f>AX223+AX224</f>
        <v>-35</v>
      </c>
      <c r="AY265" s="288">
        <f>AY223+AY224</f>
        <v>27</v>
      </c>
      <c r="AZ265" s="1140">
        <f>AZ223+AZ224</f>
        <v>-116</v>
      </c>
      <c r="BA265" s="288">
        <f t="shared" si="706" ref="BA265:BB265">BA223+BA224</f>
        <v>-46</v>
      </c>
      <c r="BB265" s="324">
        <f t="shared" si="706"/>
        <v>-2</v>
      </c>
      <c r="BC265" s="288">
        <f t="shared" si="707" ref="BC265:BH265">BC223+BC224</f>
        <v>-23</v>
      </c>
      <c r="BD265" s="288">
        <f t="shared" si="707"/>
        <v>31</v>
      </c>
      <c r="BE265" s="1140">
        <f t="shared" si="707"/>
        <v>-40</v>
      </c>
      <c r="BF265" s="288">
        <f t="shared" si="707"/>
        <v>14</v>
      </c>
      <c r="BG265" s="324">
        <f t="shared" si="707"/>
        <v>-2</v>
      </c>
      <c r="BH265" s="875">
        <f t="shared" si="707"/>
        <v>-2</v>
      </c>
      <c r="BI265" s="171">
        <f>BI201+BI205</f>
        <v>50</v>
      </c>
      <c r="BJ265" s="1197">
        <f>SUM(BF265,BG265,BH265,BI265)</f>
        <v>60</v>
      </c>
      <c r="BK265" s="171">
        <f>BK201+BK205</f>
        <v>35</v>
      </c>
      <c r="BL265" s="171">
        <f>BL201+BL205</f>
        <v>35</v>
      </c>
      <c r="BM265" s="171">
        <f>BM201+BM205</f>
        <v>35</v>
      </c>
      <c r="BN265" s="171">
        <f>BN201+BN205</f>
        <v>50</v>
      </c>
      <c r="BO265" s="1197">
        <f>SUM(BK265,BL265,BM265,BN265)</f>
        <v>155</v>
      </c>
      <c r="BP265" s="1198">
        <f>BP201+BP205</f>
        <v>140</v>
      </c>
      <c r="BQ265" s="1198">
        <f>BQ201+BQ205</f>
        <v>140</v>
      </c>
      <c r="BR265" s="1197">
        <f>BR201+BR205</f>
        <v>140</v>
      </c>
      <c r="BS265" s="32"/>
    </row>
    <row r="266" spans="1:71" s="673" customFormat="1" ht="15">
      <c r="A266" s="115" t="s">
        <v>202</v>
      </c>
      <c r="B266" s="511"/>
      <c r="C266" s="1141">
        <f t="shared" si="708" ref="C266:AQ266">C225+C226+C227</f>
        <v>226</v>
      </c>
      <c r="D266" s="1141">
        <f t="shared" si="708"/>
        <v>217</v>
      </c>
      <c r="E266" s="1141">
        <f t="shared" si="708"/>
        <v>247</v>
      </c>
      <c r="F266" s="1141">
        <f t="shared" si="708"/>
        <v>120</v>
      </c>
      <c r="G266" s="1141">
        <f t="shared" si="708"/>
        <v>211</v>
      </c>
      <c r="H266" s="39">
        <f t="shared" si="708"/>
        <v>49</v>
      </c>
      <c r="I266" s="39">
        <f t="shared" si="708"/>
        <v>43</v>
      </c>
      <c r="J266" s="39">
        <f t="shared" si="708"/>
        <v>32</v>
      </c>
      <c r="K266" s="39">
        <f t="shared" si="708"/>
        <v>70</v>
      </c>
      <c r="L266" s="1141">
        <f t="shared" si="708"/>
        <v>194</v>
      </c>
      <c r="M266" s="39">
        <f t="shared" si="708"/>
        <v>81</v>
      </c>
      <c r="N266" s="39">
        <f t="shared" si="708"/>
        <v>128</v>
      </c>
      <c r="O266" s="39">
        <f t="shared" si="708"/>
        <v>72</v>
      </c>
      <c r="P266" s="39">
        <f t="shared" si="708"/>
        <v>83</v>
      </c>
      <c r="Q266" s="1141">
        <f t="shared" si="708"/>
        <v>364</v>
      </c>
      <c r="R266" s="39">
        <f t="shared" si="708"/>
        <v>78</v>
      </c>
      <c r="S266" s="39">
        <f t="shared" si="708"/>
        <v>139</v>
      </c>
      <c r="T266" s="39">
        <f t="shared" si="708"/>
        <v>105</v>
      </c>
      <c r="U266" s="39">
        <f t="shared" si="708"/>
        <v>107</v>
      </c>
      <c r="V266" s="1141">
        <f t="shared" si="708"/>
        <v>429</v>
      </c>
      <c r="W266" s="39">
        <f t="shared" si="708"/>
        <v>110</v>
      </c>
      <c r="X266" s="39">
        <f t="shared" si="708"/>
        <v>108</v>
      </c>
      <c r="Y266" s="39">
        <f t="shared" si="708"/>
        <v>103</v>
      </c>
      <c r="Z266" s="39">
        <f t="shared" si="708"/>
        <v>107</v>
      </c>
      <c r="AA266" s="1141">
        <f t="shared" si="708"/>
        <v>428</v>
      </c>
      <c r="AB266" s="39">
        <f t="shared" si="708"/>
        <v>104</v>
      </c>
      <c r="AC266" s="39">
        <f t="shared" si="708"/>
        <v>105</v>
      </c>
      <c r="AD266" s="39">
        <f t="shared" si="708"/>
        <v>114</v>
      </c>
      <c r="AE266" s="39">
        <f t="shared" si="708"/>
        <v>110</v>
      </c>
      <c r="AF266" s="1141">
        <f t="shared" si="708"/>
        <v>433</v>
      </c>
      <c r="AG266" s="39">
        <f t="shared" si="708"/>
        <v>119</v>
      </c>
      <c r="AH266" s="39">
        <f t="shared" si="708"/>
        <v>119</v>
      </c>
      <c r="AI266" s="39">
        <f t="shared" si="708"/>
        <v>105</v>
      </c>
      <c r="AJ266" s="39">
        <f t="shared" si="708"/>
        <v>97</v>
      </c>
      <c r="AK266" s="1141">
        <f t="shared" si="708"/>
        <v>440</v>
      </c>
      <c r="AL266" s="39">
        <f>AL225+AL226+AL227</f>
        <v>70</v>
      </c>
      <c r="AM266" s="39">
        <f>AM225+AM226+AM227</f>
        <v>65</v>
      </c>
      <c r="AN266" s="39">
        <f>AN225+AN226+AN227</f>
        <v>60</v>
      </c>
      <c r="AO266" s="39">
        <f>AO225+AO226+AO227</f>
        <v>66</v>
      </c>
      <c r="AP266" s="1141">
        <f>AP225+AP226+AP227</f>
        <v>261</v>
      </c>
      <c r="AQ266" s="39">
        <f t="shared" si="708"/>
        <v>71</v>
      </c>
      <c r="AR266" s="39">
        <f t="shared" si="709" ref="AR266:AW266">AR225+AR226+AR227</f>
        <v>70</v>
      </c>
      <c r="AS266" s="39">
        <f t="shared" si="709"/>
        <v>73</v>
      </c>
      <c r="AT266" s="39">
        <f t="shared" si="709"/>
        <v>90</v>
      </c>
      <c r="AU266" s="1141">
        <f t="shared" si="709"/>
        <v>304</v>
      </c>
      <c r="AV266" s="39">
        <f t="shared" si="709"/>
        <v>71</v>
      </c>
      <c r="AW266" s="39">
        <f t="shared" si="709"/>
        <v>71</v>
      </c>
      <c r="AX266" s="39">
        <f>AX225+AX226+AX227</f>
        <v>101</v>
      </c>
      <c r="AY266" s="39">
        <f>AY225+AY226+AY227</f>
        <v>111</v>
      </c>
      <c r="AZ266" s="1141">
        <f>AZ225+AZ226+AZ227</f>
        <v>354</v>
      </c>
      <c r="BA266" s="39">
        <f t="shared" si="710" ref="BA266:BB266">BA225+BA226+BA227</f>
        <v>132</v>
      </c>
      <c r="BB266" s="39">
        <f t="shared" si="710"/>
        <v>137</v>
      </c>
      <c r="BC266" s="39">
        <f t="shared" si="711" ref="BC266:BH266">BC225+BC226+BC227</f>
        <v>164</v>
      </c>
      <c r="BD266" s="39">
        <f t="shared" si="711"/>
        <v>161</v>
      </c>
      <c r="BE266" s="1141">
        <f t="shared" si="711"/>
        <v>594</v>
      </c>
      <c r="BF266" s="39">
        <f t="shared" si="711"/>
        <v>148</v>
      </c>
      <c r="BG266" s="39">
        <f t="shared" si="711"/>
        <v>129</v>
      </c>
      <c r="BH266" s="876">
        <f t="shared" si="711"/>
        <v>116</v>
      </c>
      <c r="BI266" s="363">
        <f>BI206+BI207+BI208</f>
        <v>132</v>
      </c>
      <c r="BJ266" s="1134">
        <f>SUM(BF266,BG266,BH266,BI266)</f>
        <v>525</v>
      </c>
      <c r="BK266" s="363">
        <f>BK206+BK207+BK208</f>
        <v>120</v>
      </c>
      <c r="BL266" s="363">
        <f>BL206+BL207+BL208</f>
        <v>107</v>
      </c>
      <c r="BM266" s="363">
        <f>BM206+BM207+BM208</f>
        <v>107</v>
      </c>
      <c r="BN266" s="363">
        <f>BN206+BN207+BN208</f>
        <v>132</v>
      </c>
      <c r="BO266" s="1134">
        <f>SUM(BK266,BL266,BM266,BN266)</f>
        <v>466</v>
      </c>
      <c r="BP266" s="1134">
        <f>BP206+BP207+BP208</f>
        <v>428</v>
      </c>
      <c r="BQ266" s="1134">
        <f>BQ206+BQ207+BQ208</f>
        <v>428</v>
      </c>
      <c r="BR266" s="1134">
        <f>BR206+BR207+BR208</f>
        <v>428</v>
      </c>
      <c r="BS266" s="32"/>
    </row>
    <row r="267" spans="1:71" s="674" customFormat="1" ht="15">
      <c r="A267" s="100" t="s">
        <v>203</v>
      </c>
      <c r="B267" s="516"/>
      <c r="C267" s="1138">
        <f t="shared" si="712" ref="C267:AP267">C263+C264+C265+C266</f>
        <v>4320</v>
      </c>
      <c r="D267" s="1138">
        <f t="shared" si="712"/>
        <v>4497</v>
      </c>
      <c r="E267" s="1138">
        <f t="shared" si="712"/>
        <v>4750</v>
      </c>
      <c r="F267" s="1138">
        <f t="shared" si="712"/>
        <v>4957</v>
      </c>
      <c r="G267" s="1138">
        <f t="shared" si="712"/>
        <v>5092</v>
      </c>
      <c r="H267" s="96">
        <f t="shared" si="712"/>
        <v>1211</v>
      </c>
      <c r="I267" s="96">
        <f t="shared" si="712"/>
        <v>1392</v>
      </c>
      <c r="J267" s="96">
        <f t="shared" si="712"/>
        <v>1581</v>
      </c>
      <c r="K267" s="96">
        <f t="shared" si="712"/>
        <v>1549</v>
      </c>
      <c r="L267" s="1138">
        <f t="shared" si="712"/>
        <v>5733</v>
      </c>
      <c r="M267" s="96">
        <f t="shared" si="712"/>
        <v>1297</v>
      </c>
      <c r="N267" s="96">
        <f t="shared" si="712"/>
        <v>1543</v>
      </c>
      <c r="O267" s="96">
        <f t="shared" si="712"/>
        <v>1687</v>
      </c>
      <c r="P267" s="96">
        <f t="shared" si="712"/>
        <v>1618</v>
      </c>
      <c r="Q267" s="1138">
        <f t="shared" si="712"/>
        <v>6145</v>
      </c>
      <c r="R267" s="96">
        <f t="shared" si="712"/>
        <v>1475</v>
      </c>
      <c r="S267" s="96">
        <f t="shared" si="712"/>
        <v>1581</v>
      </c>
      <c r="T267" s="96">
        <f t="shared" si="712"/>
        <v>1705</v>
      </c>
      <c r="U267" s="96">
        <f t="shared" si="712"/>
        <v>1737</v>
      </c>
      <c r="V267" s="1138">
        <f t="shared" si="712"/>
        <v>6498</v>
      </c>
      <c r="W267" s="96">
        <f t="shared" si="712"/>
        <v>1576</v>
      </c>
      <c r="X267" s="96">
        <f t="shared" si="712"/>
        <v>1646</v>
      </c>
      <c r="Y267" s="96">
        <f t="shared" si="712"/>
        <v>1835</v>
      </c>
      <c r="Z267" s="96">
        <f t="shared" si="712"/>
        <v>1808</v>
      </c>
      <c r="AA267" s="1138">
        <f t="shared" si="712"/>
        <v>6865</v>
      </c>
      <c r="AB267" s="96">
        <f t="shared" si="712"/>
        <v>1619</v>
      </c>
      <c r="AC267" s="96">
        <f t="shared" si="712"/>
        <v>1833</v>
      </c>
      <c r="AD267" s="96">
        <f t="shared" si="712"/>
        <v>2008</v>
      </c>
      <c r="AE267" s="96">
        <f t="shared" si="712"/>
        <v>1690</v>
      </c>
      <c r="AF267" s="1138">
        <f t="shared" si="712"/>
        <v>7150</v>
      </c>
      <c r="AG267" s="96">
        <f t="shared" si="712"/>
        <v>2024</v>
      </c>
      <c r="AH267" s="96">
        <f t="shared" si="712"/>
        <v>1960</v>
      </c>
      <c r="AI267" s="96">
        <f t="shared" si="712"/>
        <v>2123</v>
      </c>
      <c r="AJ267" s="96">
        <f t="shared" si="712"/>
        <v>2130</v>
      </c>
      <c r="AK267" s="1138">
        <f t="shared" si="712"/>
        <v>8237</v>
      </c>
      <c r="AL267" s="96">
        <f t="shared" si="712"/>
        <v>1055</v>
      </c>
      <c r="AM267" s="96">
        <f t="shared" si="712"/>
        <v>1445</v>
      </c>
      <c r="AN267" s="96">
        <f t="shared" si="712"/>
        <v>1556</v>
      </c>
      <c r="AO267" s="96">
        <f t="shared" si="712"/>
        <v>1713</v>
      </c>
      <c r="AP267" s="1138">
        <f t="shared" si="712"/>
        <v>5769</v>
      </c>
      <c r="AQ267" s="96">
        <f>AQ263+AQ264+AQ265+AQ266</f>
        <v>1509</v>
      </c>
      <c r="AR267" s="96">
        <f t="shared" si="713" ref="AR267:AW267">AR263+AR264+AR265+AR266</f>
        <v>1531</v>
      </c>
      <c r="AS267" s="96">
        <f t="shared" si="713"/>
        <v>1754</v>
      </c>
      <c r="AT267" s="96">
        <f t="shared" si="713"/>
        <v>1758</v>
      </c>
      <c r="AU267" s="1138">
        <f t="shared" si="713"/>
        <v>6552</v>
      </c>
      <c r="AV267" s="96">
        <f t="shared" si="713"/>
        <v>1588</v>
      </c>
      <c r="AW267" s="96">
        <f t="shared" si="713"/>
        <v>1539</v>
      </c>
      <c r="AX267" s="96">
        <f t="shared" si="714" ref="AX267:BJ267">AX263+AX264+AX265+AX266</f>
        <v>1984</v>
      </c>
      <c r="AY267" s="96">
        <f t="shared" si="714"/>
        <v>1929</v>
      </c>
      <c r="AZ267" s="1138">
        <f t="shared" si="714"/>
        <v>7040</v>
      </c>
      <c r="BA267" s="96">
        <f t="shared" si="714"/>
        <v>1740</v>
      </c>
      <c r="BB267" s="96">
        <f t="shared" si="715" ref="BB267">BB263+BB264+BB265+BB266</f>
        <v>1840</v>
      </c>
      <c r="BC267" s="96">
        <f t="shared" si="716" ref="BC267:BI267">BC263+BC264+BC265+BC266</f>
        <v>2164</v>
      </c>
      <c r="BD267" s="96">
        <f t="shared" si="716"/>
        <v>2083</v>
      </c>
      <c r="BE267" s="1138">
        <f t="shared" si="716"/>
        <v>7827</v>
      </c>
      <c r="BF267" s="96">
        <f>BF263+BF264+BF265+BF266</f>
        <v>1906</v>
      </c>
      <c r="BG267" s="96">
        <f>BG263+BG264+BG265+BG266</f>
        <v>1900</v>
      </c>
      <c r="BH267" s="874">
        <f>BH263+BH264+BH265+BH266</f>
        <v>2369</v>
      </c>
      <c r="BI267" s="596">
        <f t="shared" si="716"/>
        <v>1809.5007292349724</v>
      </c>
      <c r="BJ267" s="1139">
        <f t="shared" si="714"/>
        <v>7984.5007292349728</v>
      </c>
      <c r="BK267" s="596">
        <f t="shared" si="717" ref="BK267:BR267">BK263+BK264+BK265+BK266</f>
        <v>1884.6034461232878</v>
      </c>
      <c r="BL267" s="596">
        <f t="shared" si="717"/>
        <v>1890.2326026328769</v>
      </c>
      <c r="BM267" s="596">
        <f t="shared" si="717"/>
        <v>2047.2287418301371</v>
      </c>
      <c r="BN267" s="596">
        <f t="shared" si="717"/>
        <v>1947.6124101890407</v>
      </c>
      <c r="BO267" s="1139">
        <f t="shared" si="717"/>
        <v>7769.6772007753416</v>
      </c>
      <c r="BP267" s="1139">
        <f t="shared" si="717"/>
        <v>8564.7313538543112</v>
      </c>
      <c r="BQ267" s="1139">
        <f t="shared" si="717"/>
        <v>10724.802563070652</v>
      </c>
      <c r="BR267" s="1139">
        <f t="shared" si="717"/>
        <v>11249.937733866416</v>
      </c>
      <c r="BS267" s="37"/>
    </row>
    <row r="268" spans="1:71" s="675" customFormat="1" ht="15">
      <c r="A268" s="105" t="str">
        <f>CONCATENATE("Consensus Estimates - ",IFERROR(LEFT(A267,FIND("(",A267)-1),A267))</f>
        <v>Consensus Estimates - Net Revenue</v>
      </c>
      <c r="B268" s="164"/>
      <c r="C268" s="1154"/>
      <c r="D268" s="1154"/>
      <c r="E268" s="1154"/>
      <c r="F268" s="1154"/>
      <c r="G268" s="1154"/>
      <c r="H268" s="311"/>
      <c r="I268" s="311"/>
      <c r="J268" s="311"/>
      <c r="K268" s="311"/>
      <c r="L268" s="1154"/>
      <c r="M268" s="311"/>
      <c r="N268" s="311"/>
      <c r="O268" s="311"/>
      <c r="P268" s="311"/>
      <c r="Q268" s="1154"/>
      <c r="R268" s="311"/>
      <c r="S268" s="325"/>
      <c r="T268" s="311"/>
      <c r="U268" s="311"/>
      <c r="V268" s="1154"/>
      <c r="W268" s="311"/>
      <c r="X268" s="325"/>
      <c r="Y268" s="311"/>
      <c r="Z268" s="311"/>
      <c r="AA268" s="1154"/>
      <c r="AB268" s="311"/>
      <c r="AC268" s="325"/>
      <c r="AD268" s="311"/>
      <c r="AE268" s="311"/>
      <c r="AF268" s="1154"/>
      <c r="AG268" s="311"/>
      <c r="AH268" s="325"/>
      <c r="AI268" s="311"/>
      <c r="AJ268" s="311"/>
      <c r="AK268" s="1154"/>
      <c r="AL268" s="311"/>
      <c r="AM268" s="325"/>
      <c r="AN268" s="311"/>
      <c r="AO268" s="311"/>
      <c r="AP268" s="1154"/>
      <c r="AQ268" s="311"/>
      <c r="AR268" s="325"/>
      <c r="AS268" s="311"/>
      <c r="AT268" s="311"/>
      <c r="AU268" s="1154"/>
      <c r="AV268" s="311"/>
      <c r="AW268" s="325"/>
      <c r="AX268" s="311"/>
      <c r="AY268" s="311"/>
      <c r="AZ268" s="1154"/>
      <c r="BA268" s="311"/>
      <c r="BB268" s="325"/>
      <c r="BC268" s="311"/>
      <c r="BD268" s="311"/>
      <c r="BE268" s="1154"/>
      <c r="BF268" s="311"/>
      <c r="BG268" s="325"/>
      <c r="BH268" s="879"/>
      <c r="BI268" s="923" t="str">
        <f ca="1" t="shared" si="718" ref="BI268:BO268">IFERROR(VLOOKUP($A268,tb_ConsensusEstimate,MATCH(BI$5,OFFSET(tb_ConsensusEstimate,0,0,1,COLUMNS(tb_ConsensusEstimate)),0),FALSE),"-")</f>
        <v>N/A</v>
      </c>
      <c r="BJ268" s="1155" t="str">
        <f t="shared" ca="1" si="718"/>
        <v>N/A</v>
      </c>
      <c r="BK268" s="923" t="str">
        <f t="shared" ca="1" si="718"/>
        <v>N/A</v>
      </c>
      <c r="BL268" s="923" t="str">
        <f t="shared" ca="1" si="718"/>
        <v>N/A</v>
      </c>
      <c r="BM268" s="923" t="str">
        <f t="shared" ca="1" si="718"/>
        <v>N/A</v>
      </c>
      <c r="BN268" s="923" t="str">
        <f t="shared" ca="1" si="718"/>
        <v>N/A</v>
      </c>
      <c r="BO268" s="1155" t="str">
        <f t="shared" ca="1" si="718"/>
        <v>N/A</v>
      </c>
      <c r="BP268" s="1156" t="str">
        <f ca="1">IFERROR(VLOOKUP($A268,tb_ConsensusEstimate,MATCH(BP5,OFFSET(tb_ConsensusEstimate,0,0,1,COLUMNS(tb_ConsensusEstimate)),0),FALSE),"-")</f>
        <v>N/A</v>
      </c>
      <c r="BQ268" s="1156" t="str">
        <f ca="1">IFERROR(VLOOKUP($A268,tb_ConsensusEstimate,MATCH(BQ5,OFFSET(tb_ConsensusEstimate,0,0,1,COLUMNS(tb_ConsensusEstimate)),0),FALSE),"-")</f>
        <v>N/A</v>
      </c>
      <c r="BR268" s="1155" t="str">
        <f ca="1">IFERROR(VLOOKUP($A268,tb_ConsensusEstimate,MATCH(BR5,OFFSET(tb_ConsensusEstimate,0,0,1,COLUMNS(tb_ConsensusEstimate)),0),FALSE),"-")</f>
        <v>N/A</v>
      </c>
      <c r="BS268" s="108"/>
    </row>
    <row r="269" spans="1:71" s="674" customFormat="1" ht="15">
      <c r="A269" s="485"/>
      <c r="B269" s="509"/>
      <c r="C269" s="1147"/>
      <c r="D269" s="1147"/>
      <c r="E269" s="1147"/>
      <c r="F269" s="1147"/>
      <c r="G269" s="1147"/>
      <c r="H269" s="426"/>
      <c r="I269" s="426"/>
      <c r="J269" s="426"/>
      <c r="K269" s="426"/>
      <c r="L269" s="1147"/>
      <c r="M269" s="426"/>
      <c r="N269" s="426"/>
      <c r="O269" s="426"/>
      <c r="P269" s="426"/>
      <c r="Q269" s="1147"/>
      <c r="R269" s="426"/>
      <c r="S269" s="426"/>
      <c r="T269" s="426"/>
      <c r="U269" s="426"/>
      <c r="V269" s="1147"/>
      <c r="W269" s="426"/>
      <c r="X269" s="426"/>
      <c r="Y269" s="426"/>
      <c r="Z269" s="426"/>
      <c r="AA269" s="1147"/>
      <c r="AB269" s="426"/>
      <c r="AC269" s="426"/>
      <c r="AD269" s="426"/>
      <c r="AE269" s="426"/>
      <c r="AF269" s="1147"/>
      <c r="AG269" s="426"/>
      <c r="AH269" s="426"/>
      <c r="AI269" s="426"/>
      <c r="AJ269" s="426"/>
      <c r="AK269" s="1147"/>
      <c r="AL269" s="426"/>
      <c r="AM269" s="426"/>
      <c r="AN269" s="426"/>
      <c r="AO269" s="426"/>
      <c r="AP269" s="1147"/>
      <c r="AQ269" s="426"/>
      <c r="AR269" s="426"/>
      <c r="AS269" s="426"/>
      <c r="AT269" s="426"/>
      <c r="AU269" s="1147"/>
      <c r="AV269" s="426"/>
      <c r="AW269" s="426"/>
      <c r="AX269" s="426"/>
      <c r="AY269" s="426"/>
      <c r="AZ269" s="1147"/>
      <c r="BA269" s="426"/>
      <c r="BB269" s="426"/>
      <c r="BC269" s="426"/>
      <c r="BD269" s="426"/>
      <c r="BE269" s="1147"/>
      <c r="BF269" s="426"/>
      <c r="BG269" s="426"/>
      <c r="BH269" s="487"/>
      <c r="BI269" s="159"/>
      <c r="BJ269" s="1148"/>
      <c r="BK269" s="159"/>
      <c r="BL269" s="159"/>
      <c r="BM269" s="159"/>
      <c r="BN269" s="159"/>
      <c r="BO269" s="1148"/>
      <c r="BP269" s="1147"/>
      <c r="BQ269" s="1147"/>
      <c r="BR269" s="1148"/>
      <c r="BS269" s="37"/>
    </row>
    <row r="270" spans="1:71" s="673" customFormat="1" ht="15">
      <c r="A270" s="114" t="s">
        <v>204</v>
      </c>
      <c r="B270" s="417"/>
      <c r="C270" s="1140">
        <f t="shared" si="719" ref="C270:AQ270">C229+C231+C232</f>
        <v>1983</v>
      </c>
      <c r="D270" s="1140">
        <f t="shared" si="719"/>
        <v>2269</v>
      </c>
      <c r="E270" s="1140">
        <f t="shared" si="719"/>
        <v>2623</v>
      </c>
      <c r="F270" s="1140">
        <f t="shared" si="719"/>
        <v>2770</v>
      </c>
      <c r="G270" s="1140">
        <f t="shared" si="719"/>
        <v>2731</v>
      </c>
      <c r="H270" s="288">
        <f t="shared" si="719"/>
        <v>640</v>
      </c>
      <c r="I270" s="288">
        <f t="shared" si="719"/>
        <v>807</v>
      </c>
      <c r="J270" s="288">
        <f t="shared" si="719"/>
        <v>978</v>
      </c>
      <c r="K270" s="288">
        <f t="shared" si="719"/>
        <v>881</v>
      </c>
      <c r="L270" s="1140">
        <f t="shared" si="719"/>
        <v>3306</v>
      </c>
      <c r="M270" s="288">
        <f t="shared" si="719"/>
        <v>792</v>
      </c>
      <c r="N270" s="288">
        <f t="shared" si="719"/>
        <v>785</v>
      </c>
      <c r="O270" s="288">
        <f t="shared" si="719"/>
        <v>1064</v>
      </c>
      <c r="P270" s="288">
        <f t="shared" si="719"/>
        <v>917</v>
      </c>
      <c r="Q270" s="1140">
        <f t="shared" si="719"/>
        <v>3558</v>
      </c>
      <c r="R270" s="288">
        <f t="shared" si="719"/>
        <v>818</v>
      </c>
      <c r="S270" s="288">
        <f t="shared" si="719"/>
        <v>919</v>
      </c>
      <c r="T270" s="288">
        <f t="shared" si="719"/>
        <v>962</v>
      </c>
      <c r="U270" s="288">
        <f t="shared" si="719"/>
        <v>896</v>
      </c>
      <c r="V270" s="1140">
        <f t="shared" si="719"/>
        <v>3595</v>
      </c>
      <c r="W270" s="288">
        <f t="shared" si="719"/>
        <v>814</v>
      </c>
      <c r="X270" s="288">
        <f t="shared" si="719"/>
        <v>865</v>
      </c>
      <c r="Y270" s="288">
        <f t="shared" si="719"/>
        <v>1216</v>
      </c>
      <c r="Z270" s="288">
        <f t="shared" si="719"/>
        <v>978</v>
      </c>
      <c r="AA270" s="1140">
        <f t="shared" si="719"/>
        <v>3873</v>
      </c>
      <c r="AB270" s="288">
        <f t="shared" si="719"/>
        <v>834</v>
      </c>
      <c r="AC270" s="288">
        <f t="shared" si="719"/>
        <v>964</v>
      </c>
      <c r="AD270" s="288">
        <f t="shared" si="719"/>
        <v>1104</v>
      </c>
      <c r="AE270" s="288">
        <f t="shared" si="719"/>
        <v>1139</v>
      </c>
      <c r="AF270" s="1140">
        <f t="shared" si="719"/>
        <v>4041</v>
      </c>
      <c r="AG270" s="288">
        <f t="shared" si="719"/>
        <v>1012</v>
      </c>
      <c r="AH270" s="288">
        <f t="shared" si="719"/>
        <v>1070</v>
      </c>
      <c r="AI270" s="288">
        <f t="shared" si="719"/>
        <v>1203</v>
      </c>
      <c r="AJ270" s="288">
        <f t="shared" si="719"/>
        <v>1173</v>
      </c>
      <c r="AK270" s="1140">
        <f t="shared" si="719"/>
        <v>4458</v>
      </c>
      <c r="AL270" s="288">
        <f>AL229+AL231+AL232</f>
        <v>707</v>
      </c>
      <c r="AM270" s="288">
        <f>AM229+AM231+AM232</f>
        <v>771</v>
      </c>
      <c r="AN270" s="288">
        <f>AN229+AN231+AN232</f>
        <v>963</v>
      </c>
      <c r="AO270" s="288">
        <f>AO229+AO231+AO232</f>
        <v>830</v>
      </c>
      <c r="AP270" s="1140">
        <f>AP229+AP231+AP232</f>
        <v>3271</v>
      </c>
      <c r="AQ270" s="288">
        <f t="shared" si="719"/>
        <v>667</v>
      </c>
      <c r="AR270" s="288">
        <f t="shared" si="720" ref="AR270:AW270">AR229+AR231+AR232</f>
        <v>714</v>
      </c>
      <c r="AS270" s="288">
        <f t="shared" si="720"/>
        <v>954</v>
      </c>
      <c r="AT270" s="288">
        <f t="shared" si="720"/>
        <v>822</v>
      </c>
      <c r="AU270" s="1140">
        <f t="shared" si="720"/>
        <v>3157</v>
      </c>
      <c r="AV270" s="288">
        <f t="shared" si="720"/>
        <v>693</v>
      </c>
      <c r="AW270" s="288">
        <f t="shared" si="720"/>
        <v>774</v>
      </c>
      <c r="AX270" s="288">
        <f>AX229+AX231+AX232</f>
        <v>1176</v>
      </c>
      <c r="AY270" s="288">
        <f>AY229+AY231+AY232</f>
        <v>986</v>
      </c>
      <c r="AZ270" s="1140">
        <f>AZ229+AZ231+AZ232</f>
        <v>3629</v>
      </c>
      <c r="BA270" s="288">
        <f t="shared" si="721" ref="BA270:BB270">BA229+BA231+BA232</f>
        <v>820</v>
      </c>
      <c r="BB270" s="288">
        <f t="shared" si="721"/>
        <v>905</v>
      </c>
      <c r="BC270" s="288">
        <f t="shared" si="722" ref="BC270:BH270">BC229+BC231+BC232</f>
        <v>1239</v>
      </c>
      <c r="BD270" s="288">
        <f t="shared" si="722"/>
        <v>1069</v>
      </c>
      <c r="BE270" s="1140">
        <f t="shared" si="722"/>
        <v>4033</v>
      </c>
      <c r="BF270" s="288">
        <f t="shared" si="722"/>
        <v>912</v>
      </c>
      <c r="BG270" s="288">
        <f t="shared" si="722"/>
        <v>937</v>
      </c>
      <c r="BH270" s="875">
        <f t="shared" si="722"/>
        <v>1430</v>
      </c>
      <c r="BI270" s="171">
        <f>BI63+BI211+BI212</f>
        <v>862.10117799999978</v>
      </c>
      <c r="BJ270" s="1133">
        <f>SUM(BF270,BG270,BH270,BI270)</f>
        <v>4141.1011779999999</v>
      </c>
      <c r="BK270" s="171">
        <f>BK63+BK211+BK212</f>
        <v>849.29725325000015</v>
      </c>
      <c r="BL270" s="171">
        <f>BL63+BL211+BL212</f>
        <v>909.48687800000016</v>
      </c>
      <c r="BM270" s="171">
        <f>BM63+BM211+BM212</f>
        <v>998.13535470000011</v>
      </c>
      <c r="BN270" s="171">
        <f>BN63+BN211+BN212</f>
        <v>835.92829483999981</v>
      </c>
      <c r="BO270" s="1133">
        <f>SUM(BK270,BL270,BM270,BN270)</f>
        <v>3592.8477807899999</v>
      </c>
      <c r="BP270" s="1131">
        <f>BP63+BP211+BP212</f>
        <v>4230.05818818015</v>
      </c>
      <c r="BQ270" s="1131">
        <f>BQ63+BQ211+BQ212</f>
        <v>5514.8419490297583</v>
      </c>
      <c r="BR270" s="1133">
        <f>BR63+BR211+BR212</f>
        <v>5801.1603585041757</v>
      </c>
      <c r="BS270" s="32"/>
    </row>
    <row r="271" spans="1:71" s="673" customFormat="1" ht="15">
      <c r="A271" s="114" t="s">
        <v>205</v>
      </c>
      <c r="B271" s="417"/>
      <c r="C271" s="1140">
        <f t="shared" si="723" ref="C271:AQ271">C230+C233</f>
        <v>995</v>
      </c>
      <c r="D271" s="1140">
        <f t="shared" si="723"/>
        <v>1028</v>
      </c>
      <c r="E271" s="1140">
        <f t="shared" si="723"/>
        <v>1037</v>
      </c>
      <c r="F271" s="1140">
        <f t="shared" si="723"/>
        <v>1169</v>
      </c>
      <c r="G271" s="1140">
        <f t="shared" si="723"/>
        <v>1186</v>
      </c>
      <c r="H271" s="288">
        <f t="shared" si="723"/>
        <v>302</v>
      </c>
      <c r="I271" s="288">
        <f t="shared" si="723"/>
        <v>341</v>
      </c>
      <c r="J271" s="288">
        <f t="shared" si="723"/>
        <v>348</v>
      </c>
      <c r="K271" s="288">
        <f t="shared" si="723"/>
        <v>374</v>
      </c>
      <c r="L271" s="1140">
        <f t="shared" si="723"/>
        <v>1365</v>
      </c>
      <c r="M271" s="288">
        <f t="shared" si="723"/>
        <v>354</v>
      </c>
      <c r="N271" s="288">
        <f t="shared" si="723"/>
        <v>404</v>
      </c>
      <c r="O271" s="288">
        <f t="shared" si="723"/>
        <v>385</v>
      </c>
      <c r="P271" s="288">
        <f t="shared" si="723"/>
        <v>356</v>
      </c>
      <c r="Q271" s="1140">
        <f t="shared" si="723"/>
        <v>1499</v>
      </c>
      <c r="R271" s="288">
        <f t="shared" si="723"/>
        <v>369</v>
      </c>
      <c r="S271" s="288">
        <f t="shared" si="723"/>
        <v>390</v>
      </c>
      <c r="T271" s="288">
        <f t="shared" si="723"/>
        <v>410</v>
      </c>
      <c r="U271" s="288">
        <f t="shared" si="723"/>
        <v>366</v>
      </c>
      <c r="V271" s="1140">
        <f t="shared" si="723"/>
        <v>1535</v>
      </c>
      <c r="W271" s="288">
        <f t="shared" si="723"/>
        <v>392</v>
      </c>
      <c r="X271" s="288">
        <f t="shared" si="723"/>
        <v>414</v>
      </c>
      <c r="Y271" s="288">
        <f t="shared" si="723"/>
        <v>412</v>
      </c>
      <c r="Z271" s="288">
        <f t="shared" si="723"/>
        <v>362</v>
      </c>
      <c r="AA271" s="1140">
        <f t="shared" si="723"/>
        <v>1580</v>
      </c>
      <c r="AB271" s="288">
        <f t="shared" si="723"/>
        <v>463</v>
      </c>
      <c r="AC271" s="288">
        <f t="shared" si="723"/>
        <v>450</v>
      </c>
      <c r="AD271" s="288">
        <f t="shared" si="723"/>
        <v>495</v>
      </c>
      <c r="AE271" s="288">
        <f t="shared" si="723"/>
        <v>436</v>
      </c>
      <c r="AF271" s="1140">
        <f t="shared" si="723"/>
        <v>1844</v>
      </c>
      <c r="AG271" s="288">
        <f t="shared" si="723"/>
        <v>427</v>
      </c>
      <c r="AH271" s="288">
        <f t="shared" si="723"/>
        <v>459</v>
      </c>
      <c r="AI271" s="288">
        <f t="shared" si="723"/>
        <v>570</v>
      </c>
      <c r="AJ271" s="288">
        <f t="shared" si="723"/>
        <v>522</v>
      </c>
      <c r="AK271" s="1140">
        <f t="shared" si="723"/>
        <v>1978</v>
      </c>
      <c r="AL271" s="288">
        <f>AL230+AL233</f>
        <v>420</v>
      </c>
      <c r="AM271" s="288">
        <f>AM230+AM233</f>
        <v>409</v>
      </c>
      <c r="AN271" s="288">
        <f>AN230+AN233</f>
        <v>406</v>
      </c>
      <c r="AO271" s="288">
        <f>AO230+AO233</f>
        <v>390</v>
      </c>
      <c r="AP271" s="1140">
        <f>AP230+AP233</f>
        <v>1625</v>
      </c>
      <c r="AQ271" s="288">
        <f t="shared" si="723"/>
        <v>380</v>
      </c>
      <c r="AR271" s="288">
        <f t="shared" si="724" ref="AR271:AW271">AR230+AR233</f>
        <v>390</v>
      </c>
      <c r="AS271" s="288">
        <f t="shared" si="724"/>
        <v>417</v>
      </c>
      <c r="AT271" s="288">
        <f t="shared" si="724"/>
        <v>360</v>
      </c>
      <c r="AU271" s="1140">
        <f t="shared" si="724"/>
        <v>1547</v>
      </c>
      <c r="AV271" s="288">
        <f t="shared" si="724"/>
        <v>414</v>
      </c>
      <c r="AW271" s="288">
        <f t="shared" si="724"/>
        <v>432</v>
      </c>
      <c r="AX271" s="288">
        <f>AX230+AX233</f>
        <v>445</v>
      </c>
      <c r="AY271" s="288">
        <f>AY230+AY233</f>
        <v>427</v>
      </c>
      <c r="AZ271" s="1140">
        <f>AZ230+AZ233</f>
        <v>1718</v>
      </c>
      <c r="BA271" s="288">
        <f t="shared" si="725" ref="BA271:BB271">BA230+BA233</f>
        <v>473</v>
      </c>
      <c r="BB271" s="288">
        <f t="shared" si="725"/>
        <v>485</v>
      </c>
      <c r="BC271" s="288">
        <f t="shared" si="726" ref="BC271:BH271">BC230+BC233</f>
        <v>497</v>
      </c>
      <c r="BD271" s="288">
        <f t="shared" si="726"/>
        <v>480</v>
      </c>
      <c r="BE271" s="1140">
        <f t="shared" si="726"/>
        <v>1935</v>
      </c>
      <c r="BF271" s="288">
        <f t="shared" si="726"/>
        <v>503</v>
      </c>
      <c r="BG271" s="288">
        <f t="shared" si="726"/>
        <v>506</v>
      </c>
      <c r="BH271" s="875">
        <f t="shared" si="726"/>
        <v>518</v>
      </c>
      <c r="BI271" s="171">
        <f>BI71+BI213</f>
        <v>426.33014400000002</v>
      </c>
      <c r="BJ271" s="1133">
        <f>SUM(BF271,BG271,BH271,BI271)</f>
        <v>1953.330144</v>
      </c>
      <c r="BK271" s="171">
        <f>BK71+BK213</f>
        <v>446.36612530000002</v>
      </c>
      <c r="BL271" s="171">
        <f>BL71+BL213</f>
        <v>447.56595400000003</v>
      </c>
      <c r="BM271" s="171">
        <f>BM71+BM213</f>
        <v>488.90739560000003</v>
      </c>
      <c r="BN271" s="171">
        <f>BN71+BN213</f>
        <v>467.39506685999993</v>
      </c>
      <c r="BO271" s="1133">
        <f>SUM(BK271,BL271,BM271,BN271)</f>
        <v>1850.23454176</v>
      </c>
      <c r="BP271" s="1131">
        <f>BP71+BP213</f>
        <v>2049.9507464746998</v>
      </c>
      <c r="BQ271" s="1131">
        <f>BQ71+BQ213</f>
        <v>2616.1400321230635</v>
      </c>
      <c r="BR271" s="1133">
        <f>BR71+BR213</f>
        <v>2763.9408625050169</v>
      </c>
      <c r="BS271" s="32"/>
    </row>
    <row r="272" spans="1:71" s="673" customFormat="1" ht="15">
      <c r="A272" s="114" t="s">
        <v>206</v>
      </c>
      <c r="B272" s="417"/>
      <c r="C272" s="1140">
        <f t="shared" si="727" ref="C272:AQ272">C234</f>
        <v>67</v>
      </c>
      <c r="D272" s="1140">
        <f t="shared" si="727"/>
        <v>78</v>
      </c>
      <c r="E272" s="1140">
        <f t="shared" si="727"/>
        <v>85</v>
      </c>
      <c r="F272" s="1140">
        <f t="shared" si="727"/>
        <v>75</v>
      </c>
      <c r="G272" s="1140">
        <f t="shared" si="727"/>
        <v>71</v>
      </c>
      <c r="H272" s="288">
        <f t="shared" si="727"/>
        <v>18</v>
      </c>
      <c r="I272" s="288">
        <f t="shared" si="727"/>
        <v>17</v>
      </c>
      <c r="J272" s="288">
        <f t="shared" si="727"/>
        <v>18</v>
      </c>
      <c r="K272" s="288">
        <f t="shared" si="727"/>
        <v>20</v>
      </c>
      <c r="L272" s="1140">
        <f t="shared" si="727"/>
        <v>73</v>
      </c>
      <c r="M272" s="288">
        <f t="shared" si="727"/>
        <v>20</v>
      </c>
      <c r="N272" s="288">
        <f t="shared" si="727"/>
        <v>20</v>
      </c>
      <c r="O272" s="288">
        <f t="shared" si="727"/>
        <v>18</v>
      </c>
      <c r="P272" s="288">
        <f t="shared" si="727"/>
        <v>17</v>
      </c>
      <c r="Q272" s="1140">
        <f t="shared" si="727"/>
        <v>75</v>
      </c>
      <c r="R272" s="288">
        <f t="shared" si="727"/>
        <v>18</v>
      </c>
      <c r="S272" s="288">
        <f t="shared" si="727"/>
        <v>19</v>
      </c>
      <c r="T272" s="288">
        <f t="shared" si="727"/>
        <v>19</v>
      </c>
      <c r="U272" s="288">
        <f t="shared" si="727"/>
        <v>21</v>
      </c>
      <c r="V272" s="1140">
        <f t="shared" si="727"/>
        <v>77</v>
      </c>
      <c r="W272" s="288">
        <f t="shared" si="727"/>
        <v>21</v>
      </c>
      <c r="X272" s="288">
        <f t="shared" si="727"/>
        <v>23</v>
      </c>
      <c r="Y272" s="288">
        <f t="shared" si="727"/>
        <v>21</v>
      </c>
      <c r="Z272" s="288">
        <f t="shared" si="727"/>
        <v>20</v>
      </c>
      <c r="AA272" s="1140">
        <f t="shared" si="727"/>
        <v>85</v>
      </c>
      <c r="AB272" s="288">
        <f t="shared" si="727"/>
        <v>15</v>
      </c>
      <c r="AC272" s="288">
        <f t="shared" si="727"/>
        <v>16</v>
      </c>
      <c r="AD272" s="288">
        <f t="shared" si="727"/>
        <v>15</v>
      </c>
      <c r="AE272" s="288">
        <f t="shared" si="727"/>
        <v>16</v>
      </c>
      <c r="AF272" s="1140">
        <f t="shared" si="727"/>
        <v>62</v>
      </c>
      <c r="AG272" s="288">
        <f t="shared" si="727"/>
        <v>16</v>
      </c>
      <c r="AH272" s="288">
        <f t="shared" si="727"/>
        <v>17</v>
      </c>
      <c r="AI272" s="288">
        <f t="shared" si="727"/>
        <v>17</v>
      </c>
      <c r="AJ272" s="288">
        <f t="shared" si="727"/>
        <v>18</v>
      </c>
      <c r="AK272" s="1140">
        <f t="shared" si="727"/>
        <v>68</v>
      </c>
      <c r="AL272" s="288">
        <f>AL234</f>
        <v>17</v>
      </c>
      <c r="AM272" s="288">
        <f>AM234</f>
        <v>23</v>
      </c>
      <c r="AN272" s="288">
        <f>AN234</f>
        <v>24</v>
      </c>
      <c r="AO272" s="288">
        <f>AO234</f>
        <v>24</v>
      </c>
      <c r="AP272" s="1140">
        <f>AP234</f>
        <v>88</v>
      </c>
      <c r="AQ272" s="288">
        <f t="shared" si="727"/>
        <v>24</v>
      </c>
      <c r="AR272" s="288">
        <f t="shared" si="728" ref="AR272:AW272">AR234</f>
        <v>23</v>
      </c>
      <c r="AS272" s="288">
        <f t="shared" si="728"/>
        <v>24</v>
      </c>
      <c r="AT272" s="288">
        <f t="shared" si="728"/>
        <v>23</v>
      </c>
      <c r="AU272" s="1140">
        <f t="shared" si="728"/>
        <v>94</v>
      </c>
      <c r="AV272" s="288">
        <f t="shared" si="728"/>
        <v>23</v>
      </c>
      <c r="AW272" s="288">
        <f t="shared" si="728"/>
        <v>23</v>
      </c>
      <c r="AX272" s="288">
        <f>AX234</f>
        <v>19</v>
      </c>
      <c r="AY272" s="288">
        <f>AY234</f>
        <v>20</v>
      </c>
      <c r="AZ272" s="1140">
        <f>AZ234</f>
        <v>85</v>
      </c>
      <c r="BA272" s="288">
        <f t="shared" si="729" ref="BA272:BB272">BA234</f>
        <v>19</v>
      </c>
      <c r="BB272" s="288">
        <f t="shared" si="729"/>
        <v>19</v>
      </c>
      <c r="BC272" s="288">
        <f t="shared" si="730" ref="BC272:BH272">BC234</f>
        <v>19</v>
      </c>
      <c r="BD272" s="288">
        <f t="shared" si="730"/>
        <v>19</v>
      </c>
      <c r="BE272" s="1140">
        <f t="shared" si="730"/>
        <v>76</v>
      </c>
      <c r="BF272" s="288">
        <f t="shared" si="730"/>
        <v>19</v>
      </c>
      <c r="BG272" s="288">
        <f t="shared" si="730"/>
        <v>19</v>
      </c>
      <c r="BH272" s="875">
        <f t="shared" si="730"/>
        <v>19</v>
      </c>
      <c r="BI272" s="171">
        <f>BI365</f>
        <v>20.392076502732241</v>
      </c>
      <c r="BJ272" s="1133">
        <f>SUM(BF272,BG272,BH272,BI272)</f>
        <v>77.392076502732237</v>
      </c>
      <c r="BK272" s="171">
        <f>BK365</f>
        <v>20.003424657534246</v>
      </c>
      <c r="BL272" s="171">
        <f>BL365</f>
        <v>20.225684931506848</v>
      </c>
      <c r="BM272" s="171">
        <f>BM365</f>
        <v>20.447945205479453</v>
      </c>
      <c r="BN272" s="171">
        <f>BN365</f>
        <v>20.447945205479453</v>
      </c>
      <c r="BO272" s="1133">
        <f>SUM(BK272,BL272,BM272,BN272)</f>
        <v>81.125</v>
      </c>
      <c r="BP272" s="1131">
        <f>BP365</f>
        <v>81.125</v>
      </c>
      <c r="BQ272" s="1131">
        <f>BQ365</f>
        <v>81.125</v>
      </c>
      <c r="BR272" s="1133">
        <f>BR365</f>
        <v>81.125</v>
      </c>
      <c r="BS272" s="32"/>
    </row>
    <row r="273" spans="1:71" s="673" customFormat="1" ht="15">
      <c r="A273" s="114" t="s">
        <v>207</v>
      </c>
      <c r="B273" s="417"/>
      <c r="C273" s="1140">
        <f t="shared" si="731" ref="C273:AQ273">C235+C236</f>
        <v>463</v>
      </c>
      <c r="D273" s="1140">
        <f t="shared" si="731"/>
        <v>433</v>
      </c>
      <c r="E273" s="1140">
        <f t="shared" si="731"/>
        <v>447</v>
      </c>
      <c r="F273" s="1140">
        <f t="shared" si="731"/>
        <v>406</v>
      </c>
      <c r="G273" s="1140">
        <f t="shared" si="731"/>
        <v>415</v>
      </c>
      <c r="H273" s="288">
        <f t="shared" si="731"/>
        <v>90</v>
      </c>
      <c r="I273" s="288">
        <f t="shared" si="731"/>
        <v>97</v>
      </c>
      <c r="J273" s="288">
        <f t="shared" si="731"/>
        <v>92</v>
      </c>
      <c r="K273" s="288">
        <f t="shared" si="731"/>
        <v>84</v>
      </c>
      <c r="L273" s="1140">
        <f t="shared" si="731"/>
        <v>363</v>
      </c>
      <c r="M273" s="288">
        <f t="shared" si="731"/>
        <v>101</v>
      </c>
      <c r="N273" s="288">
        <f t="shared" si="731"/>
        <v>108</v>
      </c>
      <c r="O273" s="288">
        <f t="shared" si="731"/>
        <v>121</v>
      </c>
      <c r="P273" s="288">
        <f t="shared" si="731"/>
        <v>118</v>
      </c>
      <c r="Q273" s="1140">
        <f t="shared" si="731"/>
        <v>448</v>
      </c>
      <c r="R273" s="288">
        <f t="shared" si="731"/>
        <v>114</v>
      </c>
      <c r="S273" s="288">
        <f t="shared" si="731"/>
        <v>117</v>
      </c>
      <c r="T273" s="288">
        <f t="shared" si="731"/>
        <v>136</v>
      </c>
      <c r="U273" s="288">
        <f t="shared" si="731"/>
        <v>137</v>
      </c>
      <c r="V273" s="1140">
        <f t="shared" si="731"/>
        <v>504</v>
      </c>
      <c r="W273" s="288">
        <f t="shared" si="731"/>
        <v>126</v>
      </c>
      <c r="X273" s="288">
        <f t="shared" si="731"/>
        <v>139</v>
      </c>
      <c r="Y273" s="288">
        <f t="shared" si="731"/>
        <v>157</v>
      </c>
      <c r="Z273" s="288">
        <f t="shared" si="731"/>
        <v>181</v>
      </c>
      <c r="AA273" s="1140">
        <f t="shared" si="731"/>
        <v>603</v>
      </c>
      <c r="AB273" s="288">
        <f t="shared" si="731"/>
        <v>133</v>
      </c>
      <c r="AC273" s="288">
        <f t="shared" si="731"/>
        <v>143</v>
      </c>
      <c r="AD273" s="288">
        <f t="shared" si="731"/>
        <v>150</v>
      </c>
      <c r="AE273" s="288">
        <f t="shared" si="731"/>
        <v>138</v>
      </c>
      <c r="AF273" s="1140">
        <f t="shared" si="731"/>
        <v>564</v>
      </c>
      <c r="AG273" s="288">
        <f t="shared" si="731"/>
        <v>156</v>
      </c>
      <c r="AH273" s="288">
        <f t="shared" si="731"/>
        <v>155</v>
      </c>
      <c r="AI273" s="288">
        <f t="shared" si="731"/>
        <v>156</v>
      </c>
      <c r="AJ273" s="288">
        <f t="shared" si="731"/>
        <v>158</v>
      </c>
      <c r="AK273" s="1140">
        <f t="shared" si="731"/>
        <v>625</v>
      </c>
      <c r="AL273" s="288">
        <f>AL235+AL236</f>
        <v>96</v>
      </c>
      <c r="AM273" s="288">
        <f>AM235+AM236</f>
        <v>102</v>
      </c>
      <c r="AN273" s="288">
        <f>AN235+AN236</f>
        <v>123</v>
      </c>
      <c r="AO273" s="288">
        <f>AO235+AO236</f>
        <v>125</v>
      </c>
      <c r="AP273" s="1140">
        <f>AP235+AP236</f>
        <v>446</v>
      </c>
      <c r="AQ273" s="288">
        <f t="shared" si="731"/>
        <v>103</v>
      </c>
      <c r="AR273" s="288">
        <f t="shared" si="732" ref="AR273:AW273">AR235+AR236</f>
        <v>116</v>
      </c>
      <c r="AS273" s="288">
        <f t="shared" si="732"/>
        <v>92</v>
      </c>
      <c r="AT273" s="288">
        <f t="shared" si="732"/>
        <v>108</v>
      </c>
      <c r="AU273" s="1140">
        <f t="shared" si="732"/>
        <v>419</v>
      </c>
      <c r="AV273" s="288">
        <f t="shared" si="732"/>
        <v>97</v>
      </c>
      <c r="AW273" s="288">
        <f t="shared" si="732"/>
        <v>104</v>
      </c>
      <c r="AX273" s="288">
        <f>AX235+AX236</f>
        <v>134</v>
      </c>
      <c r="AY273" s="288">
        <f>AY235+AY236</f>
        <v>150</v>
      </c>
      <c r="AZ273" s="1140">
        <f>AZ235+AZ236</f>
        <v>485</v>
      </c>
      <c r="BA273" s="288">
        <f t="shared" si="733" ref="BA273:BB273">BA235+BA236</f>
        <v>164</v>
      </c>
      <c r="BB273" s="288">
        <f t="shared" si="733"/>
        <v>176</v>
      </c>
      <c r="BC273" s="288">
        <f t="shared" si="734" ref="BC273:BH273">BC235+BC236</f>
        <v>190</v>
      </c>
      <c r="BD273" s="288">
        <f t="shared" si="734"/>
        <v>180</v>
      </c>
      <c r="BE273" s="1140">
        <f t="shared" si="734"/>
        <v>710</v>
      </c>
      <c r="BF273" s="288">
        <f t="shared" si="734"/>
        <v>168</v>
      </c>
      <c r="BG273" s="288">
        <f t="shared" si="734"/>
        <v>167</v>
      </c>
      <c r="BH273" s="875">
        <f t="shared" si="734"/>
        <v>173</v>
      </c>
      <c r="BI273" s="171">
        <f>BI215+BI216</f>
        <v>80</v>
      </c>
      <c r="BJ273" s="1133">
        <f>SUM(BF273,BG273,BH273,BI273)</f>
        <v>588</v>
      </c>
      <c r="BK273" s="171">
        <f>BK215+BK216</f>
        <v>80</v>
      </c>
      <c r="BL273" s="171">
        <f>BL215+BL216</f>
        <v>80</v>
      </c>
      <c r="BM273" s="171">
        <f>BM215+BM216</f>
        <v>140</v>
      </c>
      <c r="BN273" s="171">
        <f>BN215+BN216</f>
        <v>80</v>
      </c>
      <c r="BO273" s="1133">
        <f>SUM(BK273,BL273,BM273,BN273)</f>
        <v>380</v>
      </c>
      <c r="BP273" s="1131">
        <f>BP215+BP216</f>
        <v>520</v>
      </c>
      <c r="BQ273" s="1131">
        <f>BQ215+BQ216</f>
        <v>520</v>
      </c>
      <c r="BR273" s="1133">
        <f>BR215+BR216</f>
        <v>520</v>
      </c>
      <c r="BS273" s="32"/>
    </row>
    <row r="274" spans="1:71" s="673" customFormat="1" ht="15">
      <c r="A274" s="115" t="s">
        <v>208</v>
      </c>
      <c r="B274" s="511"/>
      <c r="C274" s="1134"/>
      <c r="D274" s="1134"/>
      <c r="E274" s="1134"/>
      <c r="F274" s="1134"/>
      <c r="G274" s="1134"/>
      <c r="H274" s="363"/>
      <c r="I274" s="363"/>
      <c r="J274" s="363"/>
      <c r="K274" s="363"/>
      <c r="L274" s="1134"/>
      <c r="M274" s="363"/>
      <c r="N274" s="363"/>
      <c r="O274" s="363"/>
      <c r="P274" s="363"/>
      <c r="Q274" s="1134"/>
      <c r="R274" s="363"/>
      <c r="S274" s="363"/>
      <c r="T274" s="363"/>
      <c r="U274" s="363"/>
      <c r="V274" s="1134"/>
      <c r="W274" s="363"/>
      <c r="X274" s="363"/>
      <c r="Y274" s="363"/>
      <c r="Z274" s="363"/>
      <c r="AA274" s="1134"/>
      <c r="AB274" s="363"/>
      <c r="AC274" s="363"/>
      <c r="AD274" s="363"/>
      <c r="AE274" s="363"/>
      <c r="AF274" s="1134"/>
      <c r="AG274" s="363"/>
      <c r="AH274" s="363"/>
      <c r="AI274" s="363"/>
      <c r="AJ274" s="363"/>
      <c r="AK274" s="1134"/>
      <c r="AL274" s="363"/>
      <c r="AM274" s="363"/>
      <c r="AN274" s="363"/>
      <c r="AO274" s="363"/>
      <c r="AP274" s="1134"/>
      <c r="AQ274" s="363"/>
      <c r="AR274" s="363"/>
      <c r="AS274" s="363"/>
      <c r="AT274" s="363"/>
      <c r="AU274" s="1134"/>
      <c r="AV274" s="363"/>
      <c r="AW274" s="363"/>
      <c r="AX274" s="363"/>
      <c r="AY274" s="363"/>
      <c r="AZ274" s="1134"/>
      <c r="BA274" s="363"/>
      <c r="BB274" s="363"/>
      <c r="BC274" s="363"/>
      <c r="BD274" s="363"/>
      <c r="BE274" s="1134"/>
      <c r="BF274" s="363"/>
      <c r="BG274" s="363"/>
      <c r="BH274" s="773"/>
      <c r="BI274" s="1040">
        <v>0</v>
      </c>
      <c r="BJ274" s="1134">
        <f>SUM(BF274,BG274,BH274,BI274)</f>
        <v>0</v>
      </c>
      <c r="BK274" s="1040">
        <v>0</v>
      </c>
      <c r="BL274" s="1040">
        <v>0</v>
      </c>
      <c r="BM274" s="1040">
        <v>0</v>
      </c>
      <c r="BN274" s="1040">
        <v>0</v>
      </c>
      <c r="BO274" s="1134">
        <f>SUM(BK274,BL274,BM274,BN274)</f>
        <v>0</v>
      </c>
      <c r="BP274" s="1135">
        <v>0</v>
      </c>
      <c r="BQ274" s="1135">
        <v>0</v>
      </c>
      <c r="BR274" s="1135">
        <v>0</v>
      </c>
      <c r="BS274" s="32"/>
    </row>
    <row r="275" spans="1:71" s="674" customFormat="1" ht="15">
      <c r="A275" s="100" t="s">
        <v>209</v>
      </c>
      <c r="B275" s="516"/>
      <c r="C275" s="1138">
        <f t="shared" si="735" ref="C275:AK275">+C267-C270-SUM(C271:C274)</f>
        <v>812</v>
      </c>
      <c r="D275" s="1138">
        <f t="shared" si="735"/>
        <v>689</v>
      </c>
      <c r="E275" s="1138">
        <f t="shared" si="735"/>
        <v>558</v>
      </c>
      <c r="F275" s="1138">
        <f t="shared" si="735"/>
        <v>537</v>
      </c>
      <c r="G275" s="1138">
        <f t="shared" si="735"/>
        <v>689</v>
      </c>
      <c r="H275" s="96">
        <f t="shared" si="735"/>
        <v>161</v>
      </c>
      <c r="I275" s="96">
        <f t="shared" si="735"/>
        <v>130</v>
      </c>
      <c r="J275" s="96">
        <f t="shared" si="735"/>
        <v>145</v>
      </c>
      <c r="K275" s="96">
        <f t="shared" si="735"/>
        <v>190</v>
      </c>
      <c r="L275" s="1138">
        <f t="shared" si="735"/>
        <v>626</v>
      </c>
      <c r="M275" s="96">
        <f t="shared" si="735"/>
        <v>30</v>
      </c>
      <c r="N275" s="96">
        <f t="shared" si="735"/>
        <v>226</v>
      </c>
      <c r="O275" s="96">
        <f t="shared" si="735"/>
        <v>99</v>
      </c>
      <c r="P275" s="96">
        <f t="shared" si="735"/>
        <v>210</v>
      </c>
      <c r="Q275" s="1138">
        <f t="shared" si="735"/>
        <v>565</v>
      </c>
      <c r="R275" s="96">
        <f t="shared" si="735"/>
        <v>156</v>
      </c>
      <c r="S275" s="96">
        <f t="shared" si="735"/>
        <v>136</v>
      </c>
      <c r="T275" s="96">
        <f t="shared" si="735"/>
        <v>178</v>
      </c>
      <c r="U275" s="96">
        <f t="shared" si="735"/>
        <v>317</v>
      </c>
      <c r="V275" s="1138">
        <f t="shared" si="735"/>
        <v>787</v>
      </c>
      <c r="W275" s="96">
        <f t="shared" si="735"/>
        <v>223</v>
      </c>
      <c r="X275" s="96">
        <f t="shared" si="735"/>
        <v>205</v>
      </c>
      <c r="Y275" s="96">
        <f t="shared" si="735"/>
        <v>29</v>
      </c>
      <c r="Z275" s="96">
        <f t="shared" si="735"/>
        <v>267</v>
      </c>
      <c r="AA275" s="1138">
        <f t="shared" si="735"/>
        <v>724</v>
      </c>
      <c r="AB275" s="96">
        <f t="shared" si="735"/>
        <v>174</v>
      </c>
      <c r="AC275" s="96">
        <f t="shared" si="735"/>
        <v>260</v>
      </c>
      <c r="AD275" s="96">
        <f t="shared" si="735"/>
        <v>244</v>
      </c>
      <c r="AE275" s="96">
        <f t="shared" si="735"/>
        <v>-39</v>
      </c>
      <c r="AF275" s="1138">
        <f t="shared" si="735"/>
        <v>639</v>
      </c>
      <c r="AG275" s="96">
        <f t="shared" si="735"/>
        <v>413</v>
      </c>
      <c r="AH275" s="96">
        <f t="shared" si="735"/>
        <v>259</v>
      </c>
      <c r="AI275" s="96">
        <f t="shared" si="735"/>
        <v>177</v>
      </c>
      <c r="AJ275" s="96">
        <f t="shared" si="735"/>
        <v>259</v>
      </c>
      <c r="AK275" s="1138">
        <f t="shared" si="735"/>
        <v>1108</v>
      </c>
      <c r="AL275" s="96">
        <f t="shared" si="736" ref="AL275:AQ275">+AL267-AL270-SUM(AL271:AL274)</f>
        <v>-185</v>
      </c>
      <c r="AM275" s="96">
        <f t="shared" si="736"/>
        <v>140</v>
      </c>
      <c r="AN275" s="96">
        <f t="shared" si="736"/>
        <v>40</v>
      </c>
      <c r="AO275" s="96">
        <f t="shared" si="736"/>
        <v>344</v>
      </c>
      <c r="AP275" s="1138">
        <f t="shared" si="736"/>
        <v>339</v>
      </c>
      <c r="AQ275" s="96">
        <f t="shared" si="736"/>
        <v>335</v>
      </c>
      <c r="AR275" s="96">
        <f t="shared" si="737" ref="AR275:AW275">+AR267-AR270-SUM(AR271:AR274)</f>
        <v>288</v>
      </c>
      <c r="AS275" s="96">
        <f t="shared" si="737"/>
        <v>267</v>
      </c>
      <c r="AT275" s="96">
        <f t="shared" si="737"/>
        <v>445</v>
      </c>
      <c r="AU275" s="1138">
        <f t="shared" si="737"/>
        <v>1335</v>
      </c>
      <c r="AV275" s="96">
        <f t="shared" si="737"/>
        <v>361</v>
      </c>
      <c r="AW275" s="96">
        <f t="shared" si="737"/>
        <v>206</v>
      </c>
      <c r="AX275" s="96">
        <f t="shared" si="738" ref="AX275:BJ275">+AX267-AX270-SUM(AX271:AX274)</f>
        <v>210</v>
      </c>
      <c r="AY275" s="96">
        <f t="shared" si="738"/>
        <v>346</v>
      </c>
      <c r="AZ275" s="1138">
        <f t="shared" si="738"/>
        <v>1123</v>
      </c>
      <c r="BA275" s="96">
        <f t="shared" si="738"/>
        <v>264</v>
      </c>
      <c r="BB275" s="96">
        <f t="shared" si="739" ref="BB275">+BB267-BB270-SUM(BB271:BB274)</f>
        <v>255</v>
      </c>
      <c r="BC275" s="96">
        <f t="shared" si="740" ref="BC275:BI275">+BC267-BC270-SUM(BC271:BC274)</f>
        <v>219</v>
      </c>
      <c r="BD275" s="96">
        <f t="shared" si="740"/>
        <v>335</v>
      </c>
      <c r="BE275" s="1138">
        <f t="shared" si="740"/>
        <v>1073</v>
      </c>
      <c r="BF275" s="96">
        <f>+BF267-BF270-SUM(BF271:BF274)</f>
        <v>304</v>
      </c>
      <c r="BG275" s="96">
        <f>+BG267-BG270-SUM(BG271:BG274)</f>
        <v>271</v>
      </c>
      <c r="BH275" s="874">
        <f>+BH267-BH270-SUM(BH271:BH274)</f>
        <v>229</v>
      </c>
      <c r="BI275" s="596">
        <f t="shared" si="740"/>
        <v>420.67733073224031</v>
      </c>
      <c r="BJ275" s="1139">
        <f t="shared" si="738"/>
        <v>1224.677330732241</v>
      </c>
      <c r="BK275" s="596">
        <f t="shared" si="741" ref="BK275:BR275">+BK267-BK270-SUM(BK271:BK274)</f>
        <v>488.93664291575351</v>
      </c>
      <c r="BL275" s="596">
        <f t="shared" si="741"/>
        <v>432.95408570136988</v>
      </c>
      <c r="BM275" s="596">
        <f t="shared" si="741"/>
        <v>399.73804632465749</v>
      </c>
      <c r="BN275" s="596">
        <f t="shared" si="741"/>
        <v>543.84110328356155</v>
      </c>
      <c r="BO275" s="1139">
        <f t="shared" si="741"/>
        <v>1865.4698782253417</v>
      </c>
      <c r="BP275" s="1139">
        <f t="shared" si="741"/>
        <v>1683.5974191994615</v>
      </c>
      <c r="BQ275" s="1139">
        <f t="shared" si="741"/>
        <v>1992.6955819178306</v>
      </c>
      <c r="BR275" s="1139">
        <f t="shared" si="741"/>
        <v>2083.7115128572236</v>
      </c>
      <c r="BS275" s="37"/>
    </row>
    <row r="276" spans="1:71" s="675" customFormat="1" ht="15">
      <c r="A276" s="105" t="str">
        <f>CONCATENATE("Consensus Estimates - ",IFERROR(LEFT(A275,FIND("(",A275)-1),A275))</f>
        <v>Consensus Estimates - EBT</v>
      </c>
      <c r="B276" s="164"/>
      <c r="C276" s="1154"/>
      <c r="D276" s="1154"/>
      <c r="E276" s="1154"/>
      <c r="F276" s="1154"/>
      <c r="G276" s="1154"/>
      <c r="H276" s="311"/>
      <c r="I276" s="311"/>
      <c r="J276" s="311"/>
      <c r="K276" s="311"/>
      <c r="L276" s="1154"/>
      <c r="M276" s="311"/>
      <c r="N276" s="311"/>
      <c r="O276" s="311"/>
      <c r="P276" s="311"/>
      <c r="Q276" s="1154"/>
      <c r="R276" s="311"/>
      <c r="S276" s="311"/>
      <c r="T276" s="311"/>
      <c r="U276" s="311"/>
      <c r="V276" s="1154"/>
      <c r="W276" s="311"/>
      <c r="X276" s="311"/>
      <c r="Y276" s="311"/>
      <c r="Z276" s="311"/>
      <c r="AA276" s="1154"/>
      <c r="AB276" s="311"/>
      <c r="AC276" s="311"/>
      <c r="AD276" s="311"/>
      <c r="AE276" s="311"/>
      <c r="AF276" s="1154"/>
      <c r="AG276" s="311"/>
      <c r="AH276" s="311"/>
      <c r="AI276" s="311"/>
      <c r="AJ276" s="311"/>
      <c r="AK276" s="1154"/>
      <c r="AL276" s="311"/>
      <c r="AM276" s="311"/>
      <c r="AN276" s="311"/>
      <c r="AO276" s="311"/>
      <c r="AP276" s="1154"/>
      <c r="AQ276" s="311"/>
      <c r="AR276" s="311"/>
      <c r="AS276" s="311"/>
      <c r="AT276" s="311"/>
      <c r="AU276" s="1154"/>
      <c r="AV276" s="311"/>
      <c r="AW276" s="311"/>
      <c r="AX276" s="311"/>
      <c r="AY276" s="311"/>
      <c r="AZ276" s="1154"/>
      <c r="BA276" s="311"/>
      <c r="BB276" s="311"/>
      <c r="BC276" s="311"/>
      <c r="BD276" s="311"/>
      <c r="BE276" s="1154"/>
      <c r="BF276" s="311"/>
      <c r="BG276" s="311"/>
      <c r="BH276" s="879"/>
      <c r="BI276" s="923" t="str">
        <f ca="1" t="shared" si="742" ref="BI276:BO276">IFERROR(VLOOKUP($A276,tb_ConsensusEstimate,MATCH(BI$5,OFFSET(tb_ConsensusEstimate,0,0,1,COLUMNS(tb_ConsensusEstimate)),0),FALSE),"-")</f>
        <v>N/A</v>
      </c>
      <c r="BJ276" s="1155" t="str">
        <f t="shared" ca="1" si="742"/>
        <v>N/A</v>
      </c>
      <c r="BK276" s="923" t="str">
        <f t="shared" ca="1" si="742"/>
        <v>N/A</v>
      </c>
      <c r="BL276" s="923" t="str">
        <f t="shared" ca="1" si="742"/>
        <v>N/A</v>
      </c>
      <c r="BM276" s="923" t="str">
        <f t="shared" ca="1" si="742"/>
        <v>N/A</v>
      </c>
      <c r="BN276" s="923" t="str">
        <f t="shared" ca="1" si="742"/>
        <v>N/A</v>
      </c>
      <c r="BO276" s="1155" t="str">
        <f t="shared" ca="1" si="742"/>
        <v>N/A</v>
      </c>
      <c r="BP276" s="1156" t="str">
        <f ca="1">IFERROR(VLOOKUP($A276,tb_ConsensusEstimate,MATCH(BP5,OFFSET(tb_ConsensusEstimate,0,0,1,COLUMNS(tb_ConsensusEstimate)),0),FALSE),"-")</f>
        <v>N/A</v>
      </c>
      <c r="BQ276" s="1156" t="str">
        <f ca="1">IFERROR(VLOOKUP($A276,tb_ConsensusEstimate,MATCH(BQ5,OFFSET(tb_ConsensusEstimate,0,0,1,COLUMNS(tb_ConsensusEstimate)),0),FALSE),"-")</f>
        <v>N/A</v>
      </c>
      <c r="BR276" s="1155" t="str">
        <f ca="1">IFERROR(VLOOKUP($A276,tb_ConsensusEstimate,MATCH(BR5,OFFSET(tb_ConsensusEstimate,0,0,1,COLUMNS(tb_ConsensusEstimate)),0),FALSE),"-")</f>
        <v>N/A</v>
      </c>
      <c r="BS276" s="108"/>
    </row>
    <row r="277" spans="1:71" s="682" customFormat="1" ht="15">
      <c r="A277" s="105"/>
      <c r="B277" s="164"/>
      <c r="C277" s="1154"/>
      <c r="D277" s="1154"/>
      <c r="E277" s="1154"/>
      <c r="F277" s="1154"/>
      <c r="G277" s="1154"/>
      <c r="H277" s="311"/>
      <c r="I277" s="311"/>
      <c r="J277" s="311"/>
      <c r="K277" s="311"/>
      <c r="L277" s="1154"/>
      <c r="M277" s="311"/>
      <c r="N277" s="311"/>
      <c r="O277" s="311"/>
      <c r="P277" s="311"/>
      <c r="Q277" s="1154"/>
      <c r="R277" s="311"/>
      <c r="S277" s="311"/>
      <c r="T277" s="311"/>
      <c r="U277" s="311"/>
      <c r="V277" s="1154"/>
      <c r="W277" s="311"/>
      <c r="X277" s="311"/>
      <c r="Y277" s="311"/>
      <c r="Z277" s="311"/>
      <c r="AA277" s="1154"/>
      <c r="AB277" s="311"/>
      <c r="AC277" s="311"/>
      <c r="AD277" s="311"/>
      <c r="AE277" s="311"/>
      <c r="AF277" s="1154"/>
      <c r="AG277" s="311"/>
      <c r="AH277" s="311"/>
      <c r="AI277" s="311"/>
      <c r="AJ277" s="311"/>
      <c r="AK277" s="1154"/>
      <c r="AL277" s="311"/>
      <c r="AM277" s="311"/>
      <c r="AN277" s="311"/>
      <c r="AO277" s="311"/>
      <c r="AP277" s="1154"/>
      <c r="AQ277" s="311"/>
      <c r="AR277" s="311"/>
      <c r="AS277" s="311"/>
      <c r="AT277" s="311"/>
      <c r="AU277" s="1154"/>
      <c r="AV277" s="311"/>
      <c r="AW277" s="311"/>
      <c r="AX277" s="311"/>
      <c r="AY277" s="311"/>
      <c r="AZ277" s="1154"/>
      <c r="BA277" s="311"/>
      <c r="BB277" s="311"/>
      <c r="BC277" s="311"/>
      <c r="BD277" s="311"/>
      <c r="BE277" s="1154"/>
      <c r="BF277" s="311"/>
      <c r="BG277" s="311"/>
      <c r="BH277" s="879"/>
      <c r="BI277" s="108"/>
      <c r="BJ277" s="1199"/>
      <c r="BK277" s="108"/>
      <c r="BL277" s="108"/>
      <c r="BM277" s="108"/>
      <c r="BN277" s="108"/>
      <c r="BO277" s="1199"/>
      <c r="BP277" s="1154"/>
      <c r="BQ277" s="1154"/>
      <c r="BR277" s="1199"/>
      <c r="BS277" s="128"/>
    </row>
    <row r="278" spans="1:71" s="673" customFormat="1" ht="15">
      <c r="A278" s="114" t="s">
        <v>210</v>
      </c>
      <c r="B278" s="417"/>
      <c r="C278" s="1140">
        <f t="shared" si="743" ref="C278:AQ278">C239-C279</f>
        <v>246</v>
      </c>
      <c r="D278" s="1140">
        <f t="shared" si="743"/>
        <v>217</v>
      </c>
      <c r="E278" s="1140">
        <f t="shared" si="743"/>
        <v>190</v>
      </c>
      <c r="F278" s="1140">
        <f t="shared" si="743"/>
        <v>152</v>
      </c>
      <c r="G278" s="1140">
        <f t="shared" si="743"/>
        <v>313</v>
      </c>
      <c r="H278" s="288">
        <f t="shared" si="743"/>
        <v>54</v>
      </c>
      <c r="I278" s="288">
        <f t="shared" si="743"/>
        <v>47</v>
      </c>
      <c r="J278" s="288">
        <f t="shared" si="743"/>
        <v>54</v>
      </c>
      <c r="K278" s="288">
        <f t="shared" si="743"/>
        <v>65</v>
      </c>
      <c r="L278" s="1140">
        <f t="shared" si="743"/>
        <v>273</v>
      </c>
      <c r="M278" s="288">
        <f t="shared" si="743"/>
        <v>5</v>
      </c>
      <c r="N278" s="288">
        <f t="shared" si="743"/>
        <v>77</v>
      </c>
      <c r="O278" s="288">
        <f t="shared" si="743"/>
        <v>33</v>
      </c>
      <c r="P278" s="288">
        <f t="shared" si="743"/>
        <v>80</v>
      </c>
      <c r="Q278" s="1140">
        <f t="shared" si="743"/>
        <v>224</v>
      </c>
      <c r="R278" s="288">
        <f t="shared" si="743"/>
        <v>52</v>
      </c>
      <c r="S278" s="288">
        <f t="shared" si="743"/>
        <v>73</v>
      </c>
      <c r="T278" s="288">
        <f t="shared" si="743"/>
        <v>65</v>
      </c>
      <c r="U278" s="288">
        <f t="shared" si="743"/>
        <v>-71</v>
      </c>
      <c r="V278" s="1140">
        <f t="shared" si="743"/>
        <v>311</v>
      </c>
      <c r="W278" s="288">
        <f t="shared" si="743"/>
        <v>68</v>
      </c>
      <c r="X278" s="288">
        <f t="shared" si="743"/>
        <v>60</v>
      </c>
      <c r="Y278" s="288">
        <f t="shared" si="743"/>
        <v>18</v>
      </c>
      <c r="Z278" s="288">
        <f t="shared" si="743"/>
        <v>101</v>
      </c>
      <c r="AA278" s="1140">
        <f t="shared" si="743"/>
        <v>159</v>
      </c>
      <c r="AB278" s="288">
        <f t="shared" si="743"/>
        <v>33</v>
      </c>
      <c r="AC278" s="288">
        <f t="shared" si="743"/>
        <v>52</v>
      </c>
      <c r="AD278" s="288">
        <f t="shared" si="743"/>
        <v>41</v>
      </c>
      <c r="AE278" s="288">
        <f t="shared" si="743"/>
        <v>-4</v>
      </c>
      <c r="AF278" s="1140">
        <f t="shared" si="743"/>
        <v>204</v>
      </c>
      <c r="AG278" s="288">
        <f t="shared" si="743"/>
        <v>87</v>
      </c>
      <c r="AH278" s="288">
        <f t="shared" si="743"/>
        <v>50</v>
      </c>
      <c r="AI278" s="288">
        <f t="shared" si="743"/>
        <v>34</v>
      </c>
      <c r="AJ278" s="288">
        <f t="shared" si="743"/>
        <v>68</v>
      </c>
      <c r="AK278" s="1140">
        <f t="shared" si="743"/>
        <v>262</v>
      </c>
      <c r="AL278" s="288">
        <f>AL239-AL279</f>
        <v>-41</v>
      </c>
      <c r="AM278" s="288">
        <f>AM239-AM279</f>
        <v>37</v>
      </c>
      <c r="AN278" s="288">
        <f>AN239-AN279</f>
        <v>-48</v>
      </c>
      <c r="AO278" s="288">
        <f>AO239-AO279</f>
        <v>77</v>
      </c>
      <c r="AP278" s="1140">
        <f>AP239-AP279</f>
        <v>8</v>
      </c>
      <c r="AQ278" s="288">
        <f t="shared" si="743"/>
        <v>68</v>
      </c>
      <c r="AR278" s="288">
        <f t="shared" si="744" ref="AR278:AW278">AR239-AR279</f>
        <v>48</v>
      </c>
      <c r="AS278" s="288">
        <f t="shared" si="744"/>
        <v>48</v>
      </c>
      <c r="AT278" s="288">
        <f t="shared" si="744"/>
        <v>90</v>
      </c>
      <c r="AU278" s="1140">
        <f t="shared" si="744"/>
        <v>170</v>
      </c>
      <c r="AV278" s="288">
        <f t="shared" si="744"/>
        <v>71</v>
      </c>
      <c r="AW278" s="288">
        <f t="shared" si="744"/>
        <v>39</v>
      </c>
      <c r="AX278" s="288">
        <f>AX239-AX279</f>
        <v>45</v>
      </c>
      <c r="AY278" s="288">
        <f>AY239-AY279</f>
        <v>70</v>
      </c>
      <c r="AZ278" s="1140">
        <f>AZ239-AZ279</f>
        <v>225</v>
      </c>
      <c r="BA278" s="288">
        <f t="shared" si="745" ref="BA278:BB278">BA239-BA279</f>
        <v>52</v>
      </c>
      <c r="BB278" s="288">
        <f t="shared" si="745"/>
        <v>55</v>
      </c>
      <c r="BC278" s="288">
        <f t="shared" si="746" ref="BC278:BH278">BC239-BC279</f>
        <v>42</v>
      </c>
      <c r="BD278" s="288">
        <f t="shared" si="746"/>
        <v>72</v>
      </c>
      <c r="BE278" s="1140">
        <f t="shared" si="746"/>
        <v>221</v>
      </c>
      <c r="BF278" s="288">
        <f t="shared" si="746"/>
        <v>62</v>
      </c>
      <c r="BG278" s="288">
        <f t="shared" si="746"/>
        <v>62</v>
      </c>
      <c r="BH278" s="875">
        <f t="shared" si="746"/>
        <v>48</v>
      </c>
      <c r="BI278" s="171">
        <f>BI275*BI292</f>
        <v>105.16933268306008</v>
      </c>
      <c r="BJ278" s="1133">
        <f>SUM(BF278,BG278,BH278,BI278)</f>
        <v>277.16933268306008</v>
      </c>
      <c r="BK278" s="171">
        <f>BK275*BK292</f>
        <v>195.57465716630142</v>
      </c>
      <c r="BL278" s="171">
        <f>BL275*BL292</f>
        <v>173.18163428054797</v>
      </c>
      <c r="BM278" s="171">
        <f>BM275*BM292</f>
        <v>119.92141389739724</v>
      </c>
      <c r="BN278" s="171">
        <f>BN275*BN292</f>
        <v>206.6596192477534</v>
      </c>
      <c r="BO278" s="1133">
        <f>SUM(BK278,BL278,BM278,BN278)</f>
        <v>695.33732459200007</v>
      </c>
      <c r="BP278" s="1131">
        <f>BP275*BP292</f>
        <v>420.89935479986536</v>
      </c>
      <c r="BQ278" s="1131">
        <f>BQ275*BQ292</f>
        <v>428.4295501123334</v>
      </c>
      <c r="BR278" s="1133">
        <f>BR275*BR292</f>
        <v>447.99797526430291</v>
      </c>
      <c r="BS278" s="32"/>
    </row>
    <row r="279" spans="1:71" s="673" customFormat="1" ht="15">
      <c r="A279" s="115" t="s">
        <v>211</v>
      </c>
      <c r="B279" s="511"/>
      <c r="C279" s="1141">
        <f t="shared" si="747" ref="C279:AP279">C260</f>
        <v>36</v>
      </c>
      <c r="D279" s="1141">
        <f t="shared" si="747"/>
        <v>49</v>
      </c>
      <c r="E279" s="1141">
        <f t="shared" si="747"/>
        <v>49</v>
      </c>
      <c r="F279" s="1141">
        <f t="shared" si="747"/>
        <v>-17</v>
      </c>
      <c r="G279" s="1141">
        <f t="shared" si="747"/>
        <v>-77</v>
      </c>
      <c r="H279" s="39">
        <f t="shared" si="747"/>
        <v>0</v>
      </c>
      <c r="I279" s="39">
        <f t="shared" si="747"/>
        <v>0</v>
      </c>
      <c r="J279" s="39">
        <f t="shared" si="747"/>
        <v>0</v>
      </c>
      <c r="K279" s="39">
        <f t="shared" si="747"/>
        <v>0</v>
      </c>
      <c r="L279" s="1141">
        <f t="shared" si="747"/>
        <v>-53</v>
      </c>
      <c r="M279" s="39">
        <f t="shared" si="747"/>
        <v>0</v>
      </c>
      <c r="N279" s="39">
        <f t="shared" si="747"/>
        <v>0</v>
      </c>
      <c r="O279" s="39">
        <f t="shared" si="747"/>
        <v>0</v>
      </c>
      <c r="P279" s="39">
        <f t="shared" si="747"/>
        <v>0</v>
      </c>
      <c r="Q279" s="1141">
        <f t="shared" si="747"/>
        <v>-29</v>
      </c>
      <c r="R279" s="39">
        <f t="shared" si="747"/>
        <v>0</v>
      </c>
      <c r="S279" s="39">
        <f t="shared" si="747"/>
        <v>0</v>
      </c>
      <c r="T279" s="39">
        <f t="shared" si="747"/>
        <v>0</v>
      </c>
      <c r="U279" s="39">
        <f t="shared" si="747"/>
        <v>0</v>
      </c>
      <c r="V279" s="1141">
        <f t="shared" si="747"/>
        <v>-192</v>
      </c>
      <c r="W279" s="39">
        <f t="shared" si="747"/>
        <v>0</v>
      </c>
      <c r="X279" s="39">
        <f t="shared" si="747"/>
        <v>0</v>
      </c>
      <c r="Y279" s="39">
        <f t="shared" si="747"/>
        <v>0</v>
      </c>
      <c r="Z279" s="39">
        <f t="shared" si="747"/>
        <v>0</v>
      </c>
      <c r="AA279" s="1141">
        <f t="shared" si="747"/>
        <v>88</v>
      </c>
      <c r="AB279" s="39">
        <f t="shared" si="747"/>
        <v>0</v>
      </c>
      <c r="AC279" s="39">
        <f t="shared" si="747"/>
        <v>0</v>
      </c>
      <c r="AD279" s="39">
        <f t="shared" si="747"/>
        <v>0</v>
      </c>
      <c r="AE279" s="39">
        <f t="shared" si="747"/>
        <v>0</v>
      </c>
      <c r="AF279" s="1141">
        <f t="shared" si="747"/>
        <v>-82</v>
      </c>
      <c r="AG279" s="39">
        <f t="shared" si="747"/>
        <v>0</v>
      </c>
      <c r="AH279" s="39">
        <f t="shared" si="747"/>
        <v>0</v>
      </c>
      <c r="AI279" s="39">
        <f t="shared" si="747"/>
        <v>0</v>
      </c>
      <c r="AJ279" s="39">
        <f t="shared" si="747"/>
        <v>0</v>
      </c>
      <c r="AK279" s="1141">
        <f t="shared" si="747"/>
        <v>-23</v>
      </c>
      <c r="AL279" s="39">
        <f t="shared" si="747"/>
        <v>0</v>
      </c>
      <c r="AM279" s="39">
        <f t="shared" si="747"/>
        <v>0</v>
      </c>
      <c r="AN279" s="39">
        <f t="shared" si="747"/>
        <v>0</v>
      </c>
      <c r="AO279" s="39">
        <f t="shared" si="747"/>
        <v>0</v>
      </c>
      <c r="AP279" s="1141">
        <f t="shared" si="747"/>
        <v>17</v>
      </c>
      <c r="AQ279" s="39">
        <f t="shared" si="748" ref="AQ279:AY279">AQ260</f>
        <v>0</v>
      </c>
      <c r="AR279" s="39">
        <f t="shared" si="748"/>
        <v>0</v>
      </c>
      <c r="AS279" s="39">
        <f t="shared" si="748"/>
        <v>0</v>
      </c>
      <c r="AT279" s="39">
        <f t="shared" si="748"/>
        <v>0</v>
      </c>
      <c r="AU279" s="1141">
        <f t="shared" si="748"/>
        <v>84</v>
      </c>
      <c r="AV279" s="39">
        <f t="shared" si="748"/>
        <v>0</v>
      </c>
      <c r="AW279" s="39">
        <f t="shared" si="748"/>
        <v>0</v>
      </c>
      <c r="AX279" s="39">
        <f t="shared" si="748"/>
        <v>0</v>
      </c>
      <c r="AY279" s="363">
        <f t="shared" si="748"/>
        <v>0</v>
      </c>
      <c r="AZ279" s="1141">
        <f>SUM(AV279,AW279,AX279,AY279)</f>
        <v>0</v>
      </c>
      <c r="BA279" s="363">
        <f t="shared" si="749" ref="BA279:BB279">BA260</f>
        <v>0</v>
      </c>
      <c r="BB279" s="363">
        <f t="shared" si="749"/>
        <v>0</v>
      </c>
      <c r="BC279" s="39">
        <f>BC260</f>
        <v>0</v>
      </c>
      <c r="BD279" s="363">
        <f>BD260</f>
        <v>0</v>
      </c>
      <c r="BE279" s="1134">
        <f>SUM(BA279,BB279,BC279,BD279)</f>
        <v>0</v>
      </c>
      <c r="BF279" s="363">
        <f>BF260</f>
        <v>0</v>
      </c>
      <c r="BG279" s="363">
        <f>BG260</f>
        <v>0</v>
      </c>
      <c r="BH279" s="876">
        <f>BH260</f>
        <v>0</v>
      </c>
      <c r="BI279" s="363">
        <f>BI275*BI293</f>
        <v>0</v>
      </c>
      <c r="BJ279" s="1134">
        <f>SUM(BF279,BG279,BH279,BI279)</f>
        <v>0</v>
      </c>
      <c r="BK279" s="363">
        <f>BK275*BK293</f>
        <v>0</v>
      </c>
      <c r="BL279" s="363">
        <f>BL275*BL293</f>
        <v>0</v>
      </c>
      <c r="BM279" s="363">
        <f>BM275*BM293</f>
        <v>0</v>
      </c>
      <c r="BN279" s="363">
        <f>BN275*BN293</f>
        <v>0</v>
      </c>
      <c r="BO279" s="1134">
        <f>SUM(BK279,BL279,BM279,BN279)</f>
        <v>0</v>
      </c>
      <c r="BP279" s="1134">
        <f>BP275*BP293</f>
        <v>0</v>
      </c>
      <c r="BQ279" s="1134">
        <f>BQ275*BQ293</f>
        <v>0</v>
      </c>
      <c r="BR279" s="1134">
        <f>BR275*BR293</f>
        <v>0</v>
      </c>
      <c r="BS279" s="32"/>
    </row>
    <row r="280" spans="1:71" s="674" customFormat="1" ht="15">
      <c r="A280" s="100" t="s">
        <v>212</v>
      </c>
      <c r="B280" s="516"/>
      <c r="C280" s="1138">
        <f t="shared" si="750" ref="C280:AK280">C275-SUM(C278:C279)</f>
        <v>530</v>
      </c>
      <c r="D280" s="1138">
        <f t="shared" si="750"/>
        <v>423</v>
      </c>
      <c r="E280" s="1138">
        <f t="shared" si="750"/>
        <v>319</v>
      </c>
      <c r="F280" s="1138">
        <f t="shared" si="750"/>
        <v>402</v>
      </c>
      <c r="G280" s="1138">
        <f t="shared" si="750"/>
        <v>453</v>
      </c>
      <c r="H280" s="96">
        <f t="shared" si="750"/>
        <v>107</v>
      </c>
      <c r="I280" s="96">
        <f t="shared" si="750"/>
        <v>83</v>
      </c>
      <c r="J280" s="96">
        <f t="shared" si="750"/>
        <v>91</v>
      </c>
      <c r="K280" s="96">
        <f t="shared" si="750"/>
        <v>125</v>
      </c>
      <c r="L280" s="1138">
        <f t="shared" si="750"/>
        <v>406</v>
      </c>
      <c r="M280" s="96">
        <f t="shared" si="750"/>
        <v>25</v>
      </c>
      <c r="N280" s="96">
        <f t="shared" si="750"/>
        <v>149</v>
      </c>
      <c r="O280" s="96">
        <f t="shared" si="750"/>
        <v>66</v>
      </c>
      <c r="P280" s="96">
        <f t="shared" si="750"/>
        <v>130</v>
      </c>
      <c r="Q280" s="1138">
        <f t="shared" si="750"/>
        <v>370</v>
      </c>
      <c r="R280" s="96">
        <f t="shared" si="750"/>
        <v>104</v>
      </c>
      <c r="S280" s="96">
        <f t="shared" si="750"/>
        <v>63</v>
      </c>
      <c r="T280" s="96">
        <f t="shared" si="750"/>
        <v>113</v>
      </c>
      <c r="U280" s="96">
        <f t="shared" si="750"/>
        <v>388</v>
      </c>
      <c r="V280" s="1138">
        <f t="shared" si="750"/>
        <v>668</v>
      </c>
      <c r="W280" s="96">
        <f t="shared" si="750"/>
        <v>155</v>
      </c>
      <c r="X280" s="96">
        <f t="shared" si="750"/>
        <v>145</v>
      </c>
      <c r="Y280" s="96">
        <f t="shared" si="750"/>
        <v>11</v>
      </c>
      <c r="Z280" s="96">
        <f t="shared" si="750"/>
        <v>166</v>
      </c>
      <c r="AA280" s="1138">
        <f t="shared" si="750"/>
        <v>477</v>
      </c>
      <c r="AB280" s="96">
        <f t="shared" si="750"/>
        <v>141</v>
      </c>
      <c r="AC280" s="96">
        <f t="shared" si="750"/>
        <v>208</v>
      </c>
      <c r="AD280" s="96">
        <f t="shared" si="750"/>
        <v>203</v>
      </c>
      <c r="AE280" s="96">
        <f t="shared" si="750"/>
        <v>-35</v>
      </c>
      <c r="AF280" s="1138">
        <f t="shared" si="750"/>
        <v>517</v>
      </c>
      <c r="AG280" s="96">
        <f t="shared" si="750"/>
        <v>326</v>
      </c>
      <c r="AH280" s="96">
        <f t="shared" si="750"/>
        <v>209</v>
      </c>
      <c r="AI280" s="96">
        <f t="shared" si="750"/>
        <v>143</v>
      </c>
      <c r="AJ280" s="96">
        <f t="shared" si="750"/>
        <v>191</v>
      </c>
      <c r="AK280" s="1138">
        <f t="shared" si="750"/>
        <v>869</v>
      </c>
      <c r="AL280" s="96">
        <f t="shared" si="751" ref="AL280:AQ280">AL275-SUM(AL278:AL279)</f>
        <v>-144</v>
      </c>
      <c r="AM280" s="96">
        <f t="shared" si="751"/>
        <v>103</v>
      </c>
      <c r="AN280" s="96">
        <f t="shared" si="751"/>
        <v>88</v>
      </c>
      <c r="AO280" s="96">
        <f t="shared" si="751"/>
        <v>267</v>
      </c>
      <c r="AP280" s="1138">
        <f t="shared" si="751"/>
        <v>314</v>
      </c>
      <c r="AQ280" s="96">
        <f t="shared" si="751"/>
        <v>267</v>
      </c>
      <c r="AR280" s="96">
        <f t="shared" si="752" ref="AR280:AW280">AR275-SUM(AR278:AR279)</f>
        <v>240</v>
      </c>
      <c r="AS280" s="96">
        <f t="shared" si="752"/>
        <v>219</v>
      </c>
      <c r="AT280" s="96">
        <f t="shared" si="752"/>
        <v>355</v>
      </c>
      <c r="AU280" s="1138">
        <f t="shared" si="752"/>
        <v>1081</v>
      </c>
      <c r="AV280" s="96">
        <f t="shared" si="752"/>
        <v>290</v>
      </c>
      <c r="AW280" s="96">
        <f t="shared" si="752"/>
        <v>167</v>
      </c>
      <c r="AX280" s="96">
        <f t="shared" si="753" ref="AX280:BJ280">AX275-SUM(AX278:AX279)</f>
        <v>165</v>
      </c>
      <c r="AY280" s="96">
        <f t="shared" si="753"/>
        <v>276</v>
      </c>
      <c r="AZ280" s="1138">
        <f t="shared" si="753"/>
        <v>898</v>
      </c>
      <c r="BA280" s="96">
        <f t="shared" si="753"/>
        <v>212</v>
      </c>
      <c r="BB280" s="96">
        <f t="shared" si="754" ref="BB280">BB275-SUM(BB278:BB279)</f>
        <v>200</v>
      </c>
      <c r="BC280" s="96">
        <f t="shared" si="755" ref="BC280:BI280">BC275-SUM(BC278:BC279)</f>
        <v>177</v>
      </c>
      <c r="BD280" s="96">
        <f t="shared" si="755"/>
        <v>263</v>
      </c>
      <c r="BE280" s="1138">
        <f t="shared" si="755"/>
        <v>852</v>
      </c>
      <c r="BF280" s="96">
        <f>BF275-SUM(BF278:BF279)</f>
        <v>242</v>
      </c>
      <c r="BG280" s="96">
        <f>BG275-SUM(BG278:BG279)</f>
        <v>209</v>
      </c>
      <c r="BH280" s="874">
        <f>BH275-SUM(BH278:BH279)</f>
        <v>181</v>
      </c>
      <c r="BI280" s="596">
        <f t="shared" si="755"/>
        <v>315.50799804918023</v>
      </c>
      <c r="BJ280" s="1139">
        <f t="shared" si="753"/>
        <v>947.50799804918097</v>
      </c>
      <c r="BK280" s="596">
        <f t="shared" si="756" ref="BK280:BR280">BK275-SUM(BK278:BK279)</f>
        <v>293.36198574945206</v>
      </c>
      <c r="BL280" s="596">
        <f t="shared" si="756"/>
        <v>259.77245142082188</v>
      </c>
      <c r="BM280" s="596">
        <f t="shared" si="756"/>
        <v>279.81663242726023</v>
      </c>
      <c r="BN280" s="596">
        <f t="shared" si="756"/>
        <v>337.18148403580813</v>
      </c>
      <c r="BO280" s="1139">
        <f t="shared" si="756"/>
        <v>1170.1325536333416</v>
      </c>
      <c r="BP280" s="1139">
        <f t="shared" si="756"/>
        <v>1262.6980643995962</v>
      </c>
      <c r="BQ280" s="1139">
        <f t="shared" si="756"/>
        <v>1564.2660318054973</v>
      </c>
      <c r="BR280" s="1139">
        <f t="shared" si="756"/>
        <v>1635.7135375929206</v>
      </c>
      <c r="BS280" s="37"/>
    </row>
    <row r="281" spans="1:71" s="673" customFormat="1" ht="15">
      <c r="A281" s="114" t="s">
        <v>213</v>
      </c>
      <c r="B281" s="417"/>
      <c r="C281" s="1131"/>
      <c r="D281" s="1131"/>
      <c r="E281" s="1131"/>
      <c r="F281" s="1131"/>
      <c r="G281" s="1131"/>
      <c r="H281" s="419"/>
      <c r="I281" s="419"/>
      <c r="J281" s="419"/>
      <c r="K281" s="419"/>
      <c r="L281" s="1131"/>
      <c r="M281" s="419"/>
      <c r="N281" s="419"/>
      <c r="O281" s="419"/>
      <c r="P281" s="419"/>
      <c r="Q281" s="1131"/>
      <c r="R281" s="419"/>
      <c r="S281" s="419"/>
      <c r="T281" s="419"/>
      <c r="U281" s="419"/>
      <c r="V281" s="1131"/>
      <c r="W281" s="419"/>
      <c r="X281" s="419"/>
      <c r="Y281" s="419"/>
      <c r="Z281" s="419"/>
      <c r="AA281" s="1131"/>
      <c r="AB281" s="419"/>
      <c r="AC281" s="419"/>
      <c r="AD281" s="419"/>
      <c r="AE281" s="419"/>
      <c r="AF281" s="1131"/>
      <c r="AG281" s="419"/>
      <c r="AH281" s="419"/>
      <c r="AI281" s="419"/>
      <c r="AJ281" s="419"/>
      <c r="AK281" s="1131"/>
      <c r="AL281" s="419"/>
      <c r="AM281" s="419"/>
      <c r="AN281" s="419"/>
      <c r="AO281" s="419"/>
      <c r="AP281" s="1131"/>
      <c r="AQ281" s="419"/>
      <c r="AR281" s="419"/>
      <c r="AS281" s="419"/>
      <c r="AT281" s="419"/>
      <c r="AU281" s="1131"/>
      <c r="AV281" s="419"/>
      <c r="AW281" s="419"/>
      <c r="AX281" s="419"/>
      <c r="AY281" s="419"/>
      <c r="AZ281" s="1131"/>
      <c r="BA281" s="419"/>
      <c r="BB281" s="419"/>
      <c r="BC281" s="419"/>
      <c r="BD281" s="419"/>
      <c r="BE281" s="1131"/>
      <c r="BF281" s="419"/>
      <c r="BG281" s="419"/>
      <c r="BH281" s="464"/>
      <c r="BI281" s="171"/>
      <c r="BJ281" s="1133">
        <f>SUM(BF281,BG281,BH281,BI281)</f>
        <v>0</v>
      </c>
      <c r="BK281" s="171"/>
      <c r="BL281" s="171"/>
      <c r="BM281" s="171"/>
      <c r="BN281" s="171"/>
      <c r="BO281" s="1133">
        <f>SUM(BK281,BL281,BM281,BN281)</f>
        <v>0</v>
      </c>
      <c r="BP281" s="1131"/>
      <c r="BQ281" s="1131"/>
      <c r="BR281" s="1133"/>
      <c r="BS281" s="32"/>
    </row>
    <row r="282" spans="1:71" s="673" customFormat="1" ht="15">
      <c r="A282" s="420" t="s">
        <v>214</v>
      </c>
      <c r="B282" s="417"/>
      <c r="C282" s="1131">
        <f t="shared" si="757" ref="C282:AP282">-C241</f>
        <v>0</v>
      </c>
      <c r="D282" s="1131">
        <f t="shared" si="757"/>
        <v>0</v>
      </c>
      <c r="E282" s="1131">
        <f t="shared" si="757"/>
        <v>0</v>
      </c>
      <c r="F282" s="1131">
        <f t="shared" si="757"/>
        <v>0</v>
      </c>
      <c r="G282" s="1131">
        <f t="shared" si="757"/>
        <v>0</v>
      </c>
      <c r="H282" s="419">
        <f t="shared" si="757"/>
        <v>0</v>
      </c>
      <c r="I282" s="419">
        <f t="shared" si="757"/>
        <v>0</v>
      </c>
      <c r="J282" s="419">
        <f t="shared" si="757"/>
        <v>0</v>
      </c>
      <c r="K282" s="419">
        <f t="shared" si="757"/>
        <v>0</v>
      </c>
      <c r="L282" s="1131">
        <f t="shared" si="757"/>
        <v>0</v>
      </c>
      <c r="M282" s="419">
        <f t="shared" si="757"/>
        <v>0</v>
      </c>
      <c r="N282" s="419">
        <f t="shared" si="757"/>
        <v>0</v>
      </c>
      <c r="O282" s="419">
        <f t="shared" si="757"/>
        <v>0</v>
      </c>
      <c r="P282" s="419">
        <f t="shared" si="757"/>
        <v>0</v>
      </c>
      <c r="Q282" s="1131">
        <f t="shared" si="757"/>
        <v>0</v>
      </c>
      <c r="R282" s="419">
        <f t="shared" si="757"/>
        <v>0</v>
      </c>
      <c r="S282" s="419">
        <f t="shared" si="757"/>
        <v>0</v>
      </c>
      <c r="T282" s="419">
        <f t="shared" si="757"/>
        <v>0</v>
      </c>
      <c r="U282" s="419">
        <f t="shared" si="757"/>
        <v>0</v>
      </c>
      <c r="V282" s="1131">
        <f t="shared" si="757"/>
        <v>0</v>
      </c>
      <c r="W282" s="419">
        <f t="shared" si="757"/>
        <v>0</v>
      </c>
      <c r="X282" s="419">
        <f t="shared" si="757"/>
        <v>0</v>
      </c>
      <c r="Y282" s="419">
        <f t="shared" si="757"/>
        <v>0</v>
      </c>
      <c r="Z282" s="419">
        <f t="shared" si="757"/>
        <v>0</v>
      </c>
      <c r="AA282" s="1131">
        <f t="shared" si="757"/>
        <v>0</v>
      </c>
      <c r="AB282" s="419">
        <f t="shared" si="757"/>
        <v>0</v>
      </c>
      <c r="AC282" s="419">
        <f t="shared" si="757"/>
        <v>0</v>
      </c>
      <c r="AD282" s="419">
        <f t="shared" si="757"/>
        <v>0</v>
      </c>
      <c r="AE282" s="419">
        <f t="shared" si="757"/>
        <v>0</v>
      </c>
      <c r="AF282" s="1131">
        <f t="shared" si="757"/>
        <v>0</v>
      </c>
      <c r="AG282" s="419">
        <f t="shared" si="757"/>
        <v>0</v>
      </c>
      <c r="AH282" s="419">
        <f t="shared" si="757"/>
        <v>0</v>
      </c>
      <c r="AI282" s="419">
        <f t="shared" si="757"/>
        <v>0</v>
      </c>
      <c r="AJ282" s="419">
        <f t="shared" si="757"/>
        <v>0</v>
      </c>
      <c r="AK282" s="1131">
        <f t="shared" si="757"/>
        <v>0</v>
      </c>
      <c r="AL282" s="419">
        <f t="shared" si="757"/>
        <v>160</v>
      </c>
      <c r="AM282" s="419">
        <f t="shared" si="757"/>
        <v>-64</v>
      </c>
      <c r="AN282" s="419">
        <f t="shared" si="757"/>
        <v>-76</v>
      </c>
      <c r="AO282" s="419">
        <f t="shared" si="757"/>
        <v>-427</v>
      </c>
      <c r="AP282" s="1131">
        <f t="shared" si="757"/>
        <v>-407</v>
      </c>
      <c r="AQ282" s="419">
        <f t="shared" si="758" ref="AQ282:AV282">-AQ241</f>
        <v>-152</v>
      </c>
      <c r="AR282" s="419">
        <f t="shared" si="758"/>
        <v>-762</v>
      </c>
      <c r="AS282" s="419">
        <f t="shared" si="758"/>
        <v>0</v>
      </c>
      <c r="AT282" s="419">
        <f t="shared" si="758"/>
        <v>0</v>
      </c>
      <c r="AU282" s="1131">
        <f t="shared" si="758"/>
        <v>-914</v>
      </c>
      <c r="AV282" s="419">
        <f t="shared" si="758"/>
        <v>0</v>
      </c>
      <c r="AW282" s="419">
        <f>-AW241</f>
        <v>0</v>
      </c>
      <c r="AX282" s="419">
        <f>-AX241</f>
        <v>0</v>
      </c>
      <c r="AY282" s="419">
        <f>-AY241</f>
        <v>0</v>
      </c>
      <c r="AZ282" s="1131">
        <f>-AZ241</f>
        <v>0</v>
      </c>
      <c r="BA282" s="419">
        <f t="shared" si="759" ref="BA282:BB282">-BA241</f>
        <v>0</v>
      </c>
      <c r="BB282" s="419">
        <f t="shared" si="759"/>
        <v>0</v>
      </c>
      <c r="BC282" s="419">
        <f t="shared" si="760" ref="BC282:BH282">-BC241</f>
        <v>0</v>
      </c>
      <c r="BD282" s="419">
        <f t="shared" si="760"/>
        <v>0</v>
      </c>
      <c r="BE282" s="1131">
        <f t="shared" si="760"/>
        <v>0</v>
      </c>
      <c r="BF282" s="419">
        <f t="shared" si="760"/>
        <v>0</v>
      </c>
      <c r="BG282" s="419">
        <f t="shared" si="760"/>
        <v>0</v>
      </c>
      <c r="BH282" s="464">
        <f t="shared" si="760"/>
        <v>0</v>
      </c>
      <c r="BI282" s="1051">
        <v>0</v>
      </c>
      <c r="BJ282" s="1133">
        <f>SUM(BF282,BG282,BH282,BI282)</f>
        <v>0</v>
      </c>
      <c r="BK282" s="1051">
        <v>0</v>
      </c>
      <c r="BL282" s="1051">
        <v>0</v>
      </c>
      <c r="BM282" s="1051">
        <v>0</v>
      </c>
      <c r="BN282" s="1051">
        <v>0</v>
      </c>
      <c r="BO282" s="1133">
        <f>SUM(BK282,BL282,BM282,BN282)</f>
        <v>0</v>
      </c>
      <c r="BP282" s="1132">
        <v>0</v>
      </c>
      <c r="BQ282" s="1132">
        <v>0</v>
      </c>
      <c r="BR282" s="1160">
        <v>0</v>
      </c>
      <c r="BS282" s="32"/>
    </row>
    <row r="283" spans="1:71" s="673" customFormat="1" ht="15">
      <c r="A283" s="114" t="s">
        <v>215</v>
      </c>
      <c r="B283" s="417"/>
      <c r="C283" s="1140">
        <f t="shared" si="761" ref="C283:AP283">C243</f>
        <v>11</v>
      </c>
      <c r="D283" s="1140">
        <f t="shared" si="761"/>
        <v>-56</v>
      </c>
      <c r="E283" s="1140">
        <f t="shared" si="761"/>
        <v>-23</v>
      </c>
      <c r="F283" s="1140">
        <f t="shared" si="761"/>
        <v>-86</v>
      </c>
      <c r="G283" s="1140">
        <f t="shared" si="761"/>
        <v>-18</v>
      </c>
      <c r="H283" s="288">
        <f t="shared" si="761"/>
        <v>4</v>
      </c>
      <c r="I283" s="288">
        <f t="shared" si="761"/>
        <v>-23</v>
      </c>
      <c r="J283" s="288">
        <f t="shared" si="761"/>
        <v>-25</v>
      </c>
      <c r="K283" s="288">
        <f t="shared" si="761"/>
        <v>-2</v>
      </c>
      <c r="L283" s="1140">
        <f t="shared" si="761"/>
        <v>-46</v>
      </c>
      <c r="M283" s="288">
        <f t="shared" si="761"/>
        <v>6</v>
      </c>
      <c r="N283" s="288">
        <f t="shared" si="761"/>
        <v>8</v>
      </c>
      <c r="O283" s="288">
        <f t="shared" si="761"/>
        <v>3</v>
      </c>
      <c r="P283" s="288">
        <f t="shared" si="761"/>
        <v>1</v>
      </c>
      <c r="Q283" s="1140">
        <f t="shared" si="761"/>
        <v>18</v>
      </c>
      <c r="R283" s="288">
        <f t="shared" si="761"/>
        <v>3</v>
      </c>
      <c r="S283" s="288">
        <f t="shared" si="761"/>
        <v>9</v>
      </c>
      <c r="T283" s="288">
        <f t="shared" si="761"/>
        <v>4</v>
      </c>
      <c r="U283" s="288">
        <f t="shared" si="761"/>
        <v>3</v>
      </c>
      <c r="V283" s="1140">
        <f t="shared" si="761"/>
        <v>19</v>
      </c>
      <c r="W283" s="288">
        <f t="shared" si="761"/>
        <v>2</v>
      </c>
      <c r="X283" s="288">
        <f t="shared" si="761"/>
        <v>0</v>
      </c>
      <c r="Y283" s="288">
        <f t="shared" si="761"/>
        <v>0</v>
      </c>
      <c r="Z283" s="288">
        <f t="shared" si="761"/>
        <v>0</v>
      </c>
      <c r="AA283" s="1140">
        <f t="shared" si="761"/>
        <v>2</v>
      </c>
      <c r="AB283" s="288">
        <f t="shared" si="761"/>
        <v>-4</v>
      </c>
      <c r="AC283" s="288">
        <f t="shared" si="761"/>
        <v>-2</v>
      </c>
      <c r="AD283" s="288">
        <f t="shared" si="761"/>
        <v>-1</v>
      </c>
      <c r="AE283" s="288">
        <f t="shared" si="761"/>
        <v>-6</v>
      </c>
      <c r="AF283" s="1140">
        <f t="shared" si="761"/>
        <v>-13</v>
      </c>
      <c r="AG283" s="288">
        <f t="shared" si="761"/>
        <v>-3</v>
      </c>
      <c r="AH283" s="288">
        <f t="shared" si="761"/>
        <v>-1</v>
      </c>
      <c r="AI283" s="288">
        <f t="shared" si="761"/>
        <v>-4</v>
      </c>
      <c r="AJ283" s="288">
        <f t="shared" si="761"/>
        <v>-20</v>
      </c>
      <c r="AK283" s="1140">
        <f t="shared" si="761"/>
        <v>-28</v>
      </c>
      <c r="AL283" s="288">
        <f t="shared" si="761"/>
        <v>-3</v>
      </c>
      <c r="AM283" s="288">
        <f t="shared" si="761"/>
        <v>-10</v>
      </c>
      <c r="AN283" s="288">
        <f t="shared" si="761"/>
        <v>0</v>
      </c>
      <c r="AO283" s="288">
        <f t="shared" si="761"/>
        <v>2</v>
      </c>
      <c r="AP283" s="1140">
        <f t="shared" si="761"/>
        <v>-11</v>
      </c>
      <c r="AQ283" s="288">
        <f>AQ243</f>
        <v>0</v>
      </c>
      <c r="AR283" s="288">
        <f>AR243</f>
        <v>0</v>
      </c>
      <c r="AS283" s="288">
        <f t="shared" si="762" ref="AS283:AX283">AS243</f>
        <v>0</v>
      </c>
      <c r="AT283" s="288">
        <f t="shared" si="762"/>
        <v>0</v>
      </c>
      <c r="AU283" s="1140">
        <f t="shared" si="762"/>
        <v>0</v>
      </c>
      <c r="AV283" s="288">
        <f t="shared" si="762"/>
        <v>0</v>
      </c>
      <c r="AW283" s="288">
        <f t="shared" si="762"/>
        <v>0</v>
      </c>
      <c r="AX283" s="288">
        <f t="shared" si="762"/>
        <v>0</v>
      </c>
      <c r="AY283" s="288">
        <f>AY243</f>
        <v>0</v>
      </c>
      <c r="AZ283" s="1140">
        <f>AZ243</f>
        <v>0</v>
      </c>
      <c r="BA283" s="288">
        <f t="shared" si="763" ref="BA283:BB283">BA243</f>
        <v>0</v>
      </c>
      <c r="BB283" s="288">
        <f t="shared" si="763"/>
        <v>0</v>
      </c>
      <c r="BC283" s="288">
        <f t="shared" si="764" ref="BC283:BH283">BC243</f>
        <v>0</v>
      </c>
      <c r="BD283" s="288">
        <f t="shared" si="764"/>
        <v>0</v>
      </c>
      <c r="BE283" s="1140">
        <f t="shared" si="764"/>
        <v>0</v>
      </c>
      <c r="BF283" s="288">
        <f t="shared" si="764"/>
        <v>0</v>
      </c>
      <c r="BG283" s="288">
        <f t="shared" si="764"/>
        <v>0</v>
      </c>
      <c r="BH283" s="875">
        <f t="shared" si="764"/>
        <v>0</v>
      </c>
      <c r="BI283" s="1051">
        <v>0</v>
      </c>
      <c r="BJ283" s="1133">
        <f>SUM(BF283,BG283,BH283,BI283)</f>
        <v>0</v>
      </c>
      <c r="BK283" s="1051">
        <v>0</v>
      </c>
      <c r="BL283" s="1051">
        <v>0</v>
      </c>
      <c r="BM283" s="1051">
        <v>0</v>
      </c>
      <c r="BN283" s="1051">
        <v>0</v>
      </c>
      <c r="BO283" s="1133">
        <f>SUM(BK283,BL283,BM283,BN283)</f>
        <v>0</v>
      </c>
      <c r="BP283" s="1132">
        <v>0</v>
      </c>
      <c r="BQ283" s="1132">
        <v>0</v>
      </c>
      <c r="BR283" s="1160">
        <v>0</v>
      </c>
      <c r="BS283" s="32"/>
    </row>
    <row r="284" spans="1:71" s="673" customFormat="1" ht="15">
      <c r="A284" s="115" t="s">
        <v>216</v>
      </c>
      <c r="B284" s="511"/>
      <c r="C284" s="1134"/>
      <c r="D284" s="1134"/>
      <c r="E284" s="1134"/>
      <c r="F284" s="1134"/>
      <c r="G284" s="1134"/>
      <c r="H284" s="363"/>
      <c r="I284" s="363"/>
      <c r="J284" s="363"/>
      <c r="K284" s="363"/>
      <c r="L284" s="1134"/>
      <c r="M284" s="363"/>
      <c r="N284" s="363"/>
      <c r="O284" s="363"/>
      <c r="P284" s="363"/>
      <c r="Q284" s="1134"/>
      <c r="R284" s="363"/>
      <c r="S284" s="363"/>
      <c r="T284" s="363"/>
      <c r="U284" s="363"/>
      <c r="V284" s="1134"/>
      <c r="W284" s="363"/>
      <c r="X284" s="363"/>
      <c r="Y284" s="363"/>
      <c r="Z284" s="363"/>
      <c r="AA284" s="1134"/>
      <c r="AB284" s="363"/>
      <c r="AC284" s="363"/>
      <c r="AD284" s="363"/>
      <c r="AE284" s="363"/>
      <c r="AF284" s="1134"/>
      <c r="AG284" s="363"/>
      <c r="AH284" s="363"/>
      <c r="AI284" s="363"/>
      <c r="AJ284" s="363"/>
      <c r="AK284" s="1134"/>
      <c r="AL284" s="363"/>
      <c r="AM284" s="363"/>
      <c r="AN284" s="363"/>
      <c r="AO284" s="363"/>
      <c r="AP284" s="1134"/>
      <c r="AQ284" s="363"/>
      <c r="AR284" s="363"/>
      <c r="AS284" s="363"/>
      <c r="AT284" s="363"/>
      <c r="AU284" s="1134"/>
      <c r="AV284" s="363"/>
      <c r="AW284" s="363"/>
      <c r="AX284" s="363"/>
      <c r="AY284" s="363"/>
      <c r="AZ284" s="1134"/>
      <c r="BA284" s="363"/>
      <c r="BB284" s="363"/>
      <c r="BC284" s="363"/>
      <c r="BD284" s="363"/>
      <c r="BE284" s="1134"/>
      <c r="BF284" s="363"/>
      <c r="BG284" s="363"/>
      <c r="BH284" s="773"/>
      <c r="BI284" s="363"/>
      <c r="BJ284" s="1134">
        <f>SUM(BF284,BG284,BH284,BI284)</f>
        <v>0</v>
      </c>
      <c r="BK284" s="363"/>
      <c r="BL284" s="363"/>
      <c r="BM284" s="363"/>
      <c r="BN284" s="363"/>
      <c r="BO284" s="1134">
        <f>SUM(BK284,BL284,BM284,BN284)</f>
        <v>0</v>
      </c>
      <c r="BP284" s="1134"/>
      <c r="BQ284" s="1134"/>
      <c r="BR284" s="1134"/>
      <c r="BS284" s="32"/>
    </row>
    <row r="285" spans="1:71" s="674" customFormat="1" ht="15">
      <c r="A285" s="129" t="s">
        <v>217</v>
      </c>
      <c r="B285" s="517"/>
      <c r="C285" s="1200">
        <f t="shared" si="765" ref="C285:AK285">C280-SUM(C281:C284)</f>
        <v>519</v>
      </c>
      <c r="D285" s="1200">
        <f t="shared" si="765"/>
        <v>479</v>
      </c>
      <c r="E285" s="1200">
        <f t="shared" si="765"/>
        <v>342</v>
      </c>
      <c r="F285" s="1200">
        <f t="shared" si="765"/>
        <v>488</v>
      </c>
      <c r="G285" s="1200">
        <f t="shared" si="765"/>
        <v>471</v>
      </c>
      <c r="H285" s="131">
        <f t="shared" si="765"/>
        <v>103</v>
      </c>
      <c r="I285" s="131">
        <f t="shared" si="765"/>
        <v>106</v>
      </c>
      <c r="J285" s="131">
        <f t="shared" si="765"/>
        <v>116</v>
      </c>
      <c r="K285" s="131">
        <f t="shared" si="765"/>
        <v>127</v>
      </c>
      <c r="L285" s="1200">
        <f t="shared" si="765"/>
        <v>452</v>
      </c>
      <c r="M285" s="131">
        <f t="shared" si="765"/>
        <v>19</v>
      </c>
      <c r="N285" s="131">
        <f t="shared" si="765"/>
        <v>141</v>
      </c>
      <c r="O285" s="131">
        <f t="shared" si="765"/>
        <v>63</v>
      </c>
      <c r="P285" s="131">
        <f t="shared" si="765"/>
        <v>129</v>
      </c>
      <c r="Q285" s="1200">
        <f t="shared" si="765"/>
        <v>352</v>
      </c>
      <c r="R285" s="131">
        <f t="shared" si="765"/>
        <v>101</v>
      </c>
      <c r="S285" s="131">
        <f t="shared" si="765"/>
        <v>54</v>
      </c>
      <c r="T285" s="131">
        <f t="shared" si="765"/>
        <v>109</v>
      </c>
      <c r="U285" s="131">
        <f t="shared" si="765"/>
        <v>385</v>
      </c>
      <c r="V285" s="1200">
        <f t="shared" si="765"/>
        <v>649</v>
      </c>
      <c r="W285" s="131">
        <f t="shared" si="765"/>
        <v>153</v>
      </c>
      <c r="X285" s="131">
        <f t="shared" si="765"/>
        <v>145</v>
      </c>
      <c r="Y285" s="131">
        <f t="shared" si="765"/>
        <v>11</v>
      </c>
      <c r="Z285" s="131">
        <f t="shared" si="765"/>
        <v>166</v>
      </c>
      <c r="AA285" s="1200">
        <f t="shared" si="765"/>
        <v>475</v>
      </c>
      <c r="AB285" s="131">
        <f t="shared" si="765"/>
        <v>145</v>
      </c>
      <c r="AC285" s="131">
        <f t="shared" si="765"/>
        <v>210</v>
      </c>
      <c r="AD285" s="131">
        <f t="shared" si="765"/>
        <v>204</v>
      </c>
      <c r="AE285" s="131">
        <f t="shared" si="765"/>
        <v>-29</v>
      </c>
      <c r="AF285" s="1200">
        <f t="shared" si="765"/>
        <v>530</v>
      </c>
      <c r="AG285" s="131">
        <f t="shared" si="765"/>
        <v>329</v>
      </c>
      <c r="AH285" s="131">
        <f t="shared" si="765"/>
        <v>210</v>
      </c>
      <c r="AI285" s="131">
        <f t="shared" si="765"/>
        <v>147</v>
      </c>
      <c r="AJ285" s="131">
        <f t="shared" si="765"/>
        <v>211</v>
      </c>
      <c r="AK285" s="1200">
        <f t="shared" si="765"/>
        <v>897</v>
      </c>
      <c r="AL285" s="131">
        <f t="shared" si="766" ref="AL285:AQ285">AL280-SUM(AL281:AL284)</f>
        <v>-301</v>
      </c>
      <c r="AM285" s="131">
        <f t="shared" si="766"/>
        <v>177</v>
      </c>
      <c r="AN285" s="131">
        <f t="shared" si="766"/>
        <v>164</v>
      </c>
      <c r="AO285" s="131">
        <f t="shared" si="766"/>
        <v>692</v>
      </c>
      <c r="AP285" s="1200">
        <f t="shared" si="766"/>
        <v>732</v>
      </c>
      <c r="AQ285" s="131">
        <f t="shared" si="766"/>
        <v>419</v>
      </c>
      <c r="AR285" s="131">
        <f t="shared" si="767" ref="AR285:AW285">AR280-SUM(AR281:AR284)</f>
        <v>1002</v>
      </c>
      <c r="AS285" s="131">
        <f t="shared" si="767"/>
        <v>219</v>
      </c>
      <c r="AT285" s="131">
        <f t="shared" si="767"/>
        <v>355</v>
      </c>
      <c r="AU285" s="1200">
        <f t="shared" si="767"/>
        <v>1995</v>
      </c>
      <c r="AV285" s="131">
        <f t="shared" si="767"/>
        <v>290</v>
      </c>
      <c r="AW285" s="131">
        <f t="shared" si="767"/>
        <v>167</v>
      </c>
      <c r="AX285" s="131">
        <f t="shared" si="768" ref="AX285:BJ285">AX280-SUM(AX281:AX284)</f>
        <v>165</v>
      </c>
      <c r="AY285" s="131">
        <f t="shared" si="768"/>
        <v>276</v>
      </c>
      <c r="AZ285" s="1200">
        <f t="shared" si="768"/>
        <v>898</v>
      </c>
      <c r="BA285" s="131">
        <f t="shared" si="768"/>
        <v>212</v>
      </c>
      <c r="BB285" s="131">
        <f t="shared" si="769" ref="BB285">BB280-SUM(BB281:BB284)</f>
        <v>200</v>
      </c>
      <c r="BC285" s="131">
        <f t="shared" si="770" ref="BC285:BI285">BC280-SUM(BC281:BC284)</f>
        <v>177</v>
      </c>
      <c r="BD285" s="131">
        <f t="shared" si="770"/>
        <v>263</v>
      </c>
      <c r="BE285" s="1200">
        <f t="shared" si="770"/>
        <v>852</v>
      </c>
      <c r="BF285" s="131">
        <f>BF280-SUM(BF281:BF284)</f>
        <v>242</v>
      </c>
      <c r="BG285" s="131">
        <f>BG280-SUM(BG281:BG284)</f>
        <v>209</v>
      </c>
      <c r="BH285" s="964">
        <f>BH280-SUM(BH281:BH284)</f>
        <v>181</v>
      </c>
      <c r="BI285" s="760">
        <f t="shared" si="770"/>
        <v>315.50799804918023</v>
      </c>
      <c r="BJ285" s="1201">
        <f t="shared" si="768"/>
        <v>947.50799804918097</v>
      </c>
      <c r="BK285" s="760">
        <f t="shared" si="771" ref="BK285:BR285">BK280-SUM(BK281:BK284)</f>
        <v>293.36198574945206</v>
      </c>
      <c r="BL285" s="760">
        <f t="shared" si="771"/>
        <v>259.77245142082188</v>
      </c>
      <c r="BM285" s="760">
        <f t="shared" si="771"/>
        <v>279.81663242726023</v>
      </c>
      <c r="BN285" s="760">
        <f t="shared" si="771"/>
        <v>337.18148403580813</v>
      </c>
      <c r="BO285" s="1201">
        <f t="shared" si="771"/>
        <v>1170.1325536333416</v>
      </c>
      <c r="BP285" s="1201">
        <f t="shared" si="771"/>
        <v>1262.6980643995962</v>
      </c>
      <c r="BQ285" s="1201">
        <f t="shared" si="771"/>
        <v>1564.2660318054973</v>
      </c>
      <c r="BR285" s="1201">
        <f t="shared" si="771"/>
        <v>1635.7135375929206</v>
      </c>
      <c r="BS285" s="37"/>
    </row>
    <row r="286" spans="1:71" s="673" customFormat="1" ht="15">
      <c r="A286" s="357" t="s">
        <v>218</v>
      </c>
      <c r="B286" s="512"/>
      <c r="C286" s="1137"/>
      <c r="D286" s="1137"/>
      <c r="E286" s="1137"/>
      <c r="F286" s="1137"/>
      <c r="G286" s="1137"/>
      <c r="H286" s="513"/>
      <c r="I286" s="513"/>
      <c r="J286" s="513"/>
      <c r="K286" s="513"/>
      <c r="L286" s="1137"/>
      <c r="M286" s="513"/>
      <c r="N286" s="513"/>
      <c r="O286" s="513"/>
      <c r="P286" s="513"/>
      <c r="Q286" s="1137"/>
      <c r="R286" s="513"/>
      <c r="S286" s="513"/>
      <c r="T286" s="513"/>
      <c r="U286" s="513"/>
      <c r="V286" s="1137"/>
      <c r="W286" s="513"/>
      <c r="X286" s="513"/>
      <c r="Y286" s="513"/>
      <c r="Z286" s="513"/>
      <c r="AA286" s="1137"/>
      <c r="AB286" s="513"/>
      <c r="AC286" s="513"/>
      <c r="AD286" s="513"/>
      <c r="AE286" s="513"/>
      <c r="AF286" s="1137"/>
      <c r="AG286" s="513"/>
      <c r="AH286" s="513"/>
      <c r="AI286" s="513"/>
      <c r="AJ286" s="513"/>
      <c r="AK286" s="1137"/>
      <c r="AL286" s="513"/>
      <c r="AM286" s="513"/>
      <c r="AN286" s="513"/>
      <c r="AO286" s="513"/>
      <c r="AP286" s="1137"/>
      <c r="AQ286" s="513"/>
      <c r="AR286" s="513"/>
      <c r="AS286" s="513"/>
      <c r="AT286" s="513"/>
      <c r="AU286" s="1137"/>
      <c r="AV286" s="513"/>
      <c r="AW286" s="513"/>
      <c r="AX286" s="513"/>
      <c r="AY286" s="513"/>
      <c r="AZ286" s="1137"/>
      <c r="BA286" s="513"/>
      <c r="BB286" s="513"/>
      <c r="BC286" s="513"/>
      <c r="BD286" s="513"/>
      <c r="BE286" s="1137"/>
      <c r="BF286" s="513"/>
      <c r="BG286" s="513"/>
      <c r="BH286" s="893"/>
      <c r="BI286" s="513"/>
      <c r="BJ286" s="1137">
        <f>SUM(BF286,BG286,BH286,BI286)</f>
        <v>0</v>
      </c>
      <c r="BK286" s="513"/>
      <c r="BL286" s="513"/>
      <c r="BM286" s="513"/>
      <c r="BN286" s="513"/>
      <c r="BO286" s="1137">
        <f>SUM(BK286,BL286,BM286,BN286)</f>
        <v>0</v>
      </c>
      <c r="BP286" s="1137"/>
      <c r="BQ286" s="1137"/>
      <c r="BR286" s="1137"/>
      <c r="BS286" s="32"/>
    </row>
    <row r="287" spans="1:71" s="674" customFormat="1" ht="15">
      <c r="A287" s="129" t="s">
        <v>219</v>
      </c>
      <c r="B287" s="517"/>
      <c r="C287" s="1200">
        <f t="shared" si="772" ref="C287:AK287">C285-C286</f>
        <v>519</v>
      </c>
      <c r="D287" s="1200">
        <f t="shared" si="772"/>
        <v>479</v>
      </c>
      <c r="E287" s="1200">
        <f t="shared" si="772"/>
        <v>342</v>
      </c>
      <c r="F287" s="1200">
        <f t="shared" si="772"/>
        <v>488</v>
      </c>
      <c r="G287" s="1200">
        <f t="shared" si="772"/>
        <v>471</v>
      </c>
      <c r="H287" s="131">
        <f t="shared" si="772"/>
        <v>103</v>
      </c>
      <c r="I287" s="131">
        <f t="shared" si="772"/>
        <v>106</v>
      </c>
      <c r="J287" s="131">
        <f t="shared" si="772"/>
        <v>116</v>
      </c>
      <c r="K287" s="131">
        <f t="shared" si="772"/>
        <v>127</v>
      </c>
      <c r="L287" s="1200">
        <f t="shared" si="772"/>
        <v>452</v>
      </c>
      <c r="M287" s="131">
        <f t="shared" si="772"/>
        <v>19</v>
      </c>
      <c r="N287" s="131">
        <f t="shared" si="772"/>
        <v>141</v>
      </c>
      <c r="O287" s="131">
        <f t="shared" si="772"/>
        <v>63</v>
      </c>
      <c r="P287" s="131">
        <f t="shared" si="772"/>
        <v>129</v>
      </c>
      <c r="Q287" s="1200">
        <f t="shared" si="772"/>
        <v>352</v>
      </c>
      <c r="R287" s="131">
        <f t="shared" si="772"/>
        <v>101</v>
      </c>
      <c r="S287" s="131">
        <f t="shared" si="772"/>
        <v>54</v>
      </c>
      <c r="T287" s="131">
        <f t="shared" si="772"/>
        <v>109</v>
      </c>
      <c r="U287" s="131">
        <f t="shared" si="772"/>
        <v>385</v>
      </c>
      <c r="V287" s="1200">
        <f t="shared" si="772"/>
        <v>649</v>
      </c>
      <c r="W287" s="131">
        <f t="shared" si="772"/>
        <v>153</v>
      </c>
      <c r="X287" s="131">
        <f t="shared" si="772"/>
        <v>145</v>
      </c>
      <c r="Y287" s="131">
        <f t="shared" si="772"/>
        <v>11</v>
      </c>
      <c r="Z287" s="131">
        <f t="shared" si="772"/>
        <v>166</v>
      </c>
      <c r="AA287" s="1200">
        <f t="shared" si="772"/>
        <v>475</v>
      </c>
      <c r="AB287" s="131">
        <f t="shared" si="772"/>
        <v>145</v>
      </c>
      <c r="AC287" s="131">
        <f t="shared" si="772"/>
        <v>210</v>
      </c>
      <c r="AD287" s="131">
        <f t="shared" si="772"/>
        <v>204</v>
      </c>
      <c r="AE287" s="131">
        <f t="shared" si="772"/>
        <v>-29</v>
      </c>
      <c r="AF287" s="1200">
        <f t="shared" si="772"/>
        <v>530</v>
      </c>
      <c r="AG287" s="131">
        <f t="shared" si="772"/>
        <v>329</v>
      </c>
      <c r="AH287" s="131">
        <f t="shared" si="772"/>
        <v>210</v>
      </c>
      <c r="AI287" s="131">
        <f t="shared" si="772"/>
        <v>147</v>
      </c>
      <c r="AJ287" s="131">
        <f t="shared" si="772"/>
        <v>211</v>
      </c>
      <c r="AK287" s="1200">
        <f t="shared" si="772"/>
        <v>897</v>
      </c>
      <c r="AL287" s="131">
        <f t="shared" si="773" ref="AL287:AQ287">AL285-AL286</f>
        <v>-301</v>
      </c>
      <c r="AM287" s="131">
        <f t="shared" si="773"/>
        <v>177</v>
      </c>
      <c r="AN287" s="131">
        <f t="shared" si="773"/>
        <v>164</v>
      </c>
      <c r="AO287" s="131">
        <f t="shared" si="773"/>
        <v>692</v>
      </c>
      <c r="AP287" s="1200">
        <f t="shared" si="773"/>
        <v>732</v>
      </c>
      <c r="AQ287" s="131">
        <f t="shared" si="773"/>
        <v>419</v>
      </c>
      <c r="AR287" s="131">
        <f t="shared" si="774" ref="AR287:AW287">AR285-AR286</f>
        <v>1002</v>
      </c>
      <c r="AS287" s="131">
        <f t="shared" si="774"/>
        <v>219</v>
      </c>
      <c r="AT287" s="131">
        <f t="shared" si="774"/>
        <v>355</v>
      </c>
      <c r="AU287" s="1200">
        <f t="shared" si="774"/>
        <v>1995</v>
      </c>
      <c r="AV287" s="131">
        <f t="shared" si="774"/>
        <v>290</v>
      </c>
      <c r="AW287" s="131">
        <f t="shared" si="774"/>
        <v>167</v>
      </c>
      <c r="AX287" s="131">
        <f t="shared" si="775" ref="AX287:BJ287">AX285-AX286</f>
        <v>165</v>
      </c>
      <c r="AY287" s="131">
        <f t="shared" si="775"/>
        <v>276</v>
      </c>
      <c r="AZ287" s="1200">
        <f t="shared" si="775"/>
        <v>898</v>
      </c>
      <c r="BA287" s="131">
        <f t="shared" si="775"/>
        <v>212</v>
      </c>
      <c r="BB287" s="131">
        <f t="shared" si="776" ref="BB287">BB285-BB286</f>
        <v>200</v>
      </c>
      <c r="BC287" s="131">
        <f t="shared" si="777" ref="BC287:BI287">BC285-BC286</f>
        <v>177</v>
      </c>
      <c r="BD287" s="131">
        <f t="shared" si="777"/>
        <v>263</v>
      </c>
      <c r="BE287" s="1200">
        <f t="shared" si="777"/>
        <v>852</v>
      </c>
      <c r="BF287" s="131">
        <f>BF285-BF286</f>
        <v>242</v>
      </c>
      <c r="BG287" s="131">
        <f>BG285-BG286</f>
        <v>209</v>
      </c>
      <c r="BH287" s="964">
        <f>BH285-BH286</f>
        <v>181</v>
      </c>
      <c r="BI287" s="760">
        <f t="shared" si="777"/>
        <v>315.50799804918023</v>
      </c>
      <c r="BJ287" s="1201">
        <f t="shared" si="775"/>
        <v>947.50799804918097</v>
      </c>
      <c r="BK287" s="760">
        <f t="shared" si="778" ref="BK287:BR287">BK285-BK286</f>
        <v>293.36198574945206</v>
      </c>
      <c r="BL287" s="760">
        <f t="shared" si="778"/>
        <v>259.77245142082188</v>
      </c>
      <c r="BM287" s="760">
        <f t="shared" si="778"/>
        <v>279.81663242726023</v>
      </c>
      <c r="BN287" s="760">
        <f t="shared" si="778"/>
        <v>337.18148403580813</v>
      </c>
      <c r="BO287" s="1201">
        <f t="shared" si="778"/>
        <v>1170.1325536333416</v>
      </c>
      <c r="BP287" s="1201">
        <f t="shared" si="778"/>
        <v>1262.6980643995962</v>
      </c>
      <c r="BQ287" s="1201">
        <f t="shared" si="778"/>
        <v>1564.2660318054973</v>
      </c>
      <c r="BR287" s="1201">
        <f t="shared" si="778"/>
        <v>1635.7135375929206</v>
      </c>
      <c r="BS287" s="37"/>
    </row>
    <row r="288" spans="1:71" s="673" customFormat="1" ht="15">
      <c r="A288" s="360" t="s">
        <v>220</v>
      </c>
      <c r="B288" s="515"/>
      <c r="C288" s="1159">
        <f t="shared" si="779" ref="C288:AK288">-C257</f>
        <v>0</v>
      </c>
      <c r="D288" s="1159">
        <f t="shared" si="779"/>
        <v>0</v>
      </c>
      <c r="E288" s="1159">
        <f t="shared" si="779"/>
        <v>0</v>
      </c>
      <c r="F288" s="1159">
        <f t="shared" si="779"/>
        <v>0</v>
      </c>
      <c r="G288" s="1159">
        <f t="shared" si="779"/>
        <v>0</v>
      </c>
      <c r="H288" s="125">
        <f t="shared" si="779"/>
        <v>0</v>
      </c>
      <c r="I288" s="125">
        <f t="shared" si="779"/>
        <v>0</v>
      </c>
      <c r="J288" s="125">
        <f t="shared" si="779"/>
        <v>0</v>
      </c>
      <c r="K288" s="125">
        <f t="shared" si="779"/>
        <v>0</v>
      </c>
      <c r="L288" s="1159">
        <f t="shared" si="779"/>
        <v>0</v>
      </c>
      <c r="M288" s="125">
        <f t="shared" si="779"/>
        <v>-93</v>
      </c>
      <c r="N288" s="125">
        <f t="shared" si="779"/>
        <v>26</v>
      </c>
      <c r="O288" s="125">
        <f t="shared" si="779"/>
        <v>-60</v>
      </c>
      <c r="P288" s="125">
        <f t="shared" si="779"/>
        <v>-7</v>
      </c>
      <c r="Q288" s="1159">
        <f t="shared" si="779"/>
        <v>-134</v>
      </c>
      <c r="R288" s="125">
        <f t="shared" si="779"/>
        <v>-10</v>
      </c>
      <c r="S288" s="125">
        <f t="shared" si="779"/>
        <v>-59</v>
      </c>
      <c r="T288" s="125">
        <f t="shared" si="779"/>
        <v>-25</v>
      </c>
      <c r="U288" s="125">
        <f t="shared" si="779"/>
        <v>209</v>
      </c>
      <c r="V288" s="1159">
        <f t="shared" si="779"/>
        <v>115</v>
      </c>
      <c r="W288" s="125">
        <f t="shared" si="779"/>
        <v>2</v>
      </c>
      <c r="X288" s="125">
        <f t="shared" si="779"/>
        <v>0</v>
      </c>
      <c r="Y288" s="125">
        <f t="shared" si="779"/>
        <v>-84</v>
      </c>
      <c r="Z288" s="125">
        <f t="shared" si="779"/>
        <v>-31</v>
      </c>
      <c r="AA288" s="1159">
        <f t="shared" si="779"/>
        <v>-113</v>
      </c>
      <c r="AB288" s="125">
        <f t="shared" si="779"/>
        <v>-74</v>
      </c>
      <c r="AC288" s="125">
        <f t="shared" si="779"/>
        <v>25</v>
      </c>
      <c r="AD288" s="125">
        <f t="shared" si="779"/>
        <v>6</v>
      </c>
      <c r="AE288" s="125">
        <f t="shared" si="779"/>
        <v>-188</v>
      </c>
      <c r="AF288" s="1159">
        <f t="shared" si="779"/>
        <v>-231</v>
      </c>
      <c r="AG288" s="125">
        <f t="shared" si="779"/>
        <v>145</v>
      </c>
      <c r="AH288" s="125">
        <f t="shared" si="779"/>
        <v>18</v>
      </c>
      <c r="AI288" s="125">
        <f t="shared" si="779"/>
        <v>-58</v>
      </c>
      <c r="AJ288" s="125">
        <f t="shared" si="779"/>
        <v>8</v>
      </c>
      <c r="AK288" s="1159">
        <f t="shared" si="779"/>
        <v>113</v>
      </c>
      <c r="AL288" s="125">
        <f t="shared" si="780" ref="AL288:AQ288">-AL257</f>
        <v>-426</v>
      </c>
      <c r="AM288" s="125">
        <f t="shared" si="780"/>
        <v>117</v>
      </c>
      <c r="AN288" s="125">
        <f t="shared" si="780"/>
        <v>43</v>
      </c>
      <c r="AO288" s="125">
        <f t="shared" si="780"/>
        <v>517</v>
      </c>
      <c r="AP288" s="1159">
        <f t="shared" si="780"/>
        <v>251</v>
      </c>
      <c r="AQ288" s="125">
        <f t="shared" si="780"/>
        <v>213</v>
      </c>
      <c r="AR288" s="125">
        <f>-AR257</f>
        <v>797</v>
      </c>
      <c r="AS288" s="125">
        <f>-AS257</f>
        <v>-12</v>
      </c>
      <c r="AT288" s="125">
        <f>-AT257</f>
        <v>4</v>
      </c>
      <c r="AU288" s="1159">
        <f>-AU257</f>
        <v>1002</v>
      </c>
      <c r="AV288" s="125">
        <f t="shared" si="781" ref="AV288:AZ288">-AV257</f>
        <v>-13</v>
      </c>
      <c r="AW288" s="125">
        <f t="shared" si="781"/>
        <v>-76</v>
      </c>
      <c r="AX288" s="125">
        <f t="shared" si="781"/>
        <v>-27</v>
      </c>
      <c r="AY288" s="125">
        <f t="shared" si="781"/>
        <v>21</v>
      </c>
      <c r="AZ288" s="1159">
        <f t="shared" si="781"/>
        <v>-95</v>
      </c>
      <c r="BA288" s="125">
        <f t="shared" si="782" ref="BA288:BB288">-BA257</f>
        <v>-35</v>
      </c>
      <c r="BB288" s="125">
        <f t="shared" si="782"/>
        <v>-2</v>
      </c>
      <c r="BC288" s="125">
        <f t="shared" si="783" ref="BC288:BI288">-BC257</f>
        <v>-31</v>
      </c>
      <c r="BD288" s="125">
        <f t="shared" si="783"/>
        <v>25</v>
      </c>
      <c r="BE288" s="1159">
        <f t="shared" si="783"/>
        <v>-43</v>
      </c>
      <c r="BF288" s="125">
        <f>-BF257</f>
        <v>11</v>
      </c>
      <c r="BG288" s="125">
        <f>-BG257</f>
        <v>-6</v>
      </c>
      <c r="BH288" s="880">
        <f>-BH257</f>
        <v>-13</v>
      </c>
      <c r="BI288" s="617">
        <f t="shared" si="783"/>
        <v>37.50</v>
      </c>
      <c r="BJ288" s="1157">
        <f>SUM(BF288,BG288,BH288,BI288)</f>
        <v>29.50</v>
      </c>
      <c r="BK288" s="617">
        <f>-BK257</f>
        <v>21</v>
      </c>
      <c r="BL288" s="617">
        <f>-BL257</f>
        <v>21</v>
      </c>
      <c r="BM288" s="617">
        <f>-BM257</f>
        <v>24.50</v>
      </c>
      <c r="BN288" s="617">
        <f>-BN257</f>
        <v>31</v>
      </c>
      <c r="BO288" s="1157">
        <f>SUM(BK288,BL288,BM288,BN288)</f>
        <v>97.50</v>
      </c>
      <c r="BP288" s="1157">
        <f>-BP257</f>
        <v>105</v>
      </c>
      <c r="BQ288" s="1157">
        <f>-BQ257</f>
        <v>109.90000000000002</v>
      </c>
      <c r="BR288" s="1157">
        <f>-BR257</f>
        <v>109.90000000000002</v>
      </c>
      <c r="BS288" s="32"/>
    </row>
    <row r="289" spans="1:71" s="673" customFormat="1" ht="15">
      <c r="A289" s="115" t="s">
        <v>221</v>
      </c>
      <c r="B289" s="511"/>
      <c r="C289" s="1134"/>
      <c r="D289" s="1134"/>
      <c r="E289" s="1134"/>
      <c r="F289" s="1134"/>
      <c r="G289" s="1134"/>
      <c r="H289" s="363"/>
      <c r="I289" s="363"/>
      <c r="J289" s="363"/>
      <c r="K289" s="363"/>
      <c r="L289" s="1134"/>
      <c r="M289" s="363"/>
      <c r="N289" s="363"/>
      <c r="O289" s="363"/>
      <c r="P289" s="363"/>
      <c r="Q289" s="1134"/>
      <c r="R289" s="363"/>
      <c r="S289" s="363"/>
      <c r="T289" s="363"/>
      <c r="U289" s="363"/>
      <c r="V289" s="1134"/>
      <c r="W289" s="363"/>
      <c r="X289" s="363"/>
      <c r="Y289" s="363"/>
      <c r="Z289" s="363"/>
      <c r="AA289" s="1134"/>
      <c r="AB289" s="363"/>
      <c r="AC289" s="363"/>
      <c r="AD289" s="363"/>
      <c r="AE289" s="363"/>
      <c r="AF289" s="1134"/>
      <c r="AG289" s="363"/>
      <c r="AH289" s="363"/>
      <c r="AI289" s="363"/>
      <c r="AJ289" s="363"/>
      <c r="AK289" s="1134"/>
      <c r="AL289" s="363"/>
      <c r="AM289" s="363"/>
      <c r="AN289" s="363"/>
      <c r="AO289" s="363"/>
      <c r="AP289" s="1134"/>
      <c r="AQ289" s="363"/>
      <c r="AR289" s="363"/>
      <c r="AS289" s="363"/>
      <c r="AT289" s="363"/>
      <c r="AU289" s="1134"/>
      <c r="AV289" s="363"/>
      <c r="AW289" s="363"/>
      <c r="AX289" s="363"/>
      <c r="AY289" s="363"/>
      <c r="AZ289" s="1134"/>
      <c r="BA289" s="363"/>
      <c r="BB289" s="363"/>
      <c r="BC289" s="363"/>
      <c r="BD289" s="363"/>
      <c r="BE289" s="1134"/>
      <c r="BF289" s="363"/>
      <c r="BG289" s="363"/>
      <c r="BH289" s="773"/>
      <c r="BI289" s="363"/>
      <c r="BJ289" s="1134">
        <f>SUM(BF289,BG289,BH289,BI289)</f>
        <v>0</v>
      </c>
      <c r="BK289" s="363"/>
      <c r="BL289" s="363"/>
      <c r="BM289" s="363"/>
      <c r="BN289" s="363"/>
      <c r="BO289" s="1134">
        <f>SUM(BK289,BL289,BM289,BN289)</f>
        <v>0</v>
      </c>
      <c r="BP289" s="1134"/>
      <c r="BQ289" s="1134"/>
      <c r="BR289" s="1134"/>
      <c r="BS289" s="32"/>
    </row>
    <row r="290" spans="1:71" s="674" customFormat="1" ht="15">
      <c r="A290" s="129" t="s">
        <v>503</v>
      </c>
      <c r="B290" s="517"/>
      <c r="C290" s="1200">
        <f t="shared" si="784" ref="C290:AK290">C287-SUM(C288:C289)</f>
        <v>519</v>
      </c>
      <c r="D290" s="1200">
        <f t="shared" si="784"/>
        <v>479</v>
      </c>
      <c r="E290" s="1200">
        <f t="shared" si="784"/>
        <v>342</v>
      </c>
      <c r="F290" s="1200">
        <f t="shared" si="784"/>
        <v>488</v>
      </c>
      <c r="G290" s="1200">
        <f t="shared" si="784"/>
        <v>471</v>
      </c>
      <c r="H290" s="131">
        <f t="shared" si="784"/>
        <v>103</v>
      </c>
      <c r="I290" s="131">
        <f t="shared" si="784"/>
        <v>106</v>
      </c>
      <c r="J290" s="131">
        <f t="shared" si="784"/>
        <v>116</v>
      </c>
      <c r="K290" s="131">
        <f t="shared" si="784"/>
        <v>127</v>
      </c>
      <c r="L290" s="1200">
        <f t="shared" si="784"/>
        <v>452</v>
      </c>
      <c r="M290" s="131">
        <f t="shared" si="784"/>
        <v>112</v>
      </c>
      <c r="N290" s="131">
        <f t="shared" si="784"/>
        <v>115</v>
      </c>
      <c r="O290" s="131">
        <f t="shared" si="784"/>
        <v>123</v>
      </c>
      <c r="P290" s="131">
        <f t="shared" si="784"/>
        <v>136</v>
      </c>
      <c r="Q290" s="1200">
        <f t="shared" si="784"/>
        <v>486</v>
      </c>
      <c r="R290" s="131">
        <f t="shared" si="784"/>
        <v>111</v>
      </c>
      <c r="S290" s="131">
        <f t="shared" si="784"/>
        <v>113</v>
      </c>
      <c r="T290" s="131">
        <f t="shared" si="784"/>
        <v>134</v>
      </c>
      <c r="U290" s="131">
        <f t="shared" si="784"/>
        <v>176</v>
      </c>
      <c r="V290" s="1200">
        <f t="shared" si="784"/>
        <v>534</v>
      </c>
      <c r="W290" s="131">
        <f t="shared" si="784"/>
        <v>151</v>
      </c>
      <c r="X290" s="131">
        <f t="shared" si="784"/>
        <v>145</v>
      </c>
      <c r="Y290" s="131">
        <f t="shared" si="784"/>
        <v>95</v>
      </c>
      <c r="Z290" s="131">
        <f t="shared" si="784"/>
        <v>197</v>
      </c>
      <c r="AA290" s="1200">
        <f t="shared" si="784"/>
        <v>588</v>
      </c>
      <c r="AB290" s="131">
        <f t="shared" si="784"/>
        <v>219</v>
      </c>
      <c r="AC290" s="131">
        <f t="shared" si="784"/>
        <v>185</v>
      </c>
      <c r="AD290" s="131">
        <f t="shared" si="784"/>
        <v>198</v>
      </c>
      <c r="AE290" s="131">
        <f t="shared" si="784"/>
        <v>159</v>
      </c>
      <c r="AF290" s="1200">
        <f t="shared" si="784"/>
        <v>761</v>
      </c>
      <c r="AG290" s="131">
        <f t="shared" si="784"/>
        <v>184</v>
      </c>
      <c r="AH290" s="131">
        <f t="shared" si="784"/>
        <v>192</v>
      </c>
      <c r="AI290" s="131">
        <f t="shared" si="784"/>
        <v>205</v>
      </c>
      <c r="AJ290" s="131">
        <f t="shared" si="784"/>
        <v>203</v>
      </c>
      <c r="AK290" s="1200">
        <f t="shared" si="784"/>
        <v>784</v>
      </c>
      <c r="AL290" s="131">
        <f t="shared" si="785" ref="AL290:AQ290">AL287-SUM(AL288:AL289)</f>
        <v>125</v>
      </c>
      <c r="AM290" s="131">
        <f t="shared" si="785"/>
        <v>60</v>
      </c>
      <c r="AN290" s="131">
        <f t="shared" si="785"/>
        <v>121</v>
      </c>
      <c r="AO290" s="131">
        <f t="shared" si="785"/>
        <v>175</v>
      </c>
      <c r="AP290" s="1200">
        <f t="shared" si="785"/>
        <v>481</v>
      </c>
      <c r="AQ290" s="131">
        <f t="shared" si="785"/>
        <v>206</v>
      </c>
      <c r="AR290" s="131">
        <f t="shared" si="786" ref="AR290:AW290">AR287-SUM(AR288:AR289)</f>
        <v>205</v>
      </c>
      <c r="AS290" s="131">
        <f t="shared" si="786"/>
        <v>231</v>
      </c>
      <c r="AT290" s="131">
        <f t="shared" si="786"/>
        <v>351</v>
      </c>
      <c r="AU290" s="1200">
        <f t="shared" si="786"/>
        <v>993</v>
      </c>
      <c r="AV290" s="131">
        <f t="shared" si="786"/>
        <v>303</v>
      </c>
      <c r="AW290" s="131">
        <f t="shared" si="786"/>
        <v>243</v>
      </c>
      <c r="AX290" s="131">
        <f t="shared" si="787" ref="AX290:BJ290">AX287-SUM(AX288:AX289)</f>
        <v>192</v>
      </c>
      <c r="AY290" s="131">
        <f t="shared" si="787"/>
        <v>255</v>
      </c>
      <c r="AZ290" s="1200">
        <f t="shared" si="787"/>
        <v>993</v>
      </c>
      <c r="BA290" s="131">
        <f t="shared" si="787"/>
        <v>247</v>
      </c>
      <c r="BB290" s="131">
        <f t="shared" si="788" ref="BB290">BB287-SUM(BB288:BB289)</f>
        <v>202</v>
      </c>
      <c r="BC290" s="131">
        <f t="shared" si="789" ref="BC290:BI290">BC287-SUM(BC288:BC289)</f>
        <v>208</v>
      </c>
      <c r="BD290" s="131">
        <f t="shared" si="789"/>
        <v>238</v>
      </c>
      <c r="BE290" s="1200">
        <f t="shared" si="789"/>
        <v>895</v>
      </c>
      <c r="BF290" s="131">
        <f>BF287-SUM(BF288:BF289)</f>
        <v>231</v>
      </c>
      <c r="BG290" s="131">
        <f>BG287-SUM(BG288:BG289)</f>
        <v>215</v>
      </c>
      <c r="BH290" s="964">
        <f>BH287-SUM(BH288:BH289)</f>
        <v>194</v>
      </c>
      <c r="BI290" s="760">
        <f t="shared" si="789"/>
        <v>278.00799804918023</v>
      </c>
      <c r="BJ290" s="1201">
        <f t="shared" si="787"/>
        <v>918.00799804918097</v>
      </c>
      <c r="BK290" s="760">
        <f t="shared" si="790" ref="BK290:BR290">BK287-SUM(BK288:BK289)</f>
        <v>272.36198574945206</v>
      </c>
      <c r="BL290" s="760">
        <f t="shared" si="790"/>
        <v>238.77245142082188</v>
      </c>
      <c r="BM290" s="760">
        <f t="shared" si="790"/>
        <v>255.31663242726023</v>
      </c>
      <c r="BN290" s="760">
        <f t="shared" si="790"/>
        <v>306.18148403580813</v>
      </c>
      <c r="BO290" s="1201">
        <f t="shared" si="790"/>
        <v>1072.6325536333416</v>
      </c>
      <c r="BP290" s="1201">
        <f t="shared" si="790"/>
        <v>1157.6980643995962</v>
      </c>
      <c r="BQ290" s="1201">
        <f t="shared" si="790"/>
        <v>1454.3660318054972</v>
      </c>
      <c r="BR290" s="1201">
        <f t="shared" si="790"/>
        <v>1525.8135375929205</v>
      </c>
      <c r="BS290" s="37"/>
    </row>
    <row r="291" spans="1:71" s="683" customFormat="1" ht="15">
      <c r="A291" s="518"/>
      <c r="B291" s="519"/>
      <c r="C291" s="1202"/>
      <c r="D291" s="1202"/>
      <c r="E291" s="1202"/>
      <c r="F291" s="1202"/>
      <c r="G291" s="1202"/>
      <c r="H291" s="981"/>
      <c r="I291" s="981"/>
      <c r="J291" s="981"/>
      <c r="K291" s="981"/>
      <c r="L291" s="1202"/>
      <c r="M291" s="981"/>
      <c r="N291" s="981"/>
      <c r="O291" s="981"/>
      <c r="P291" s="981"/>
      <c r="Q291" s="1202"/>
      <c r="R291" s="981"/>
      <c r="S291" s="981"/>
      <c r="T291" s="981"/>
      <c r="U291" s="981"/>
      <c r="V291" s="1202"/>
      <c r="W291" s="981"/>
      <c r="X291" s="981"/>
      <c r="Y291" s="981"/>
      <c r="Z291" s="981"/>
      <c r="AA291" s="1202"/>
      <c r="AB291" s="981"/>
      <c r="AC291" s="981"/>
      <c r="AD291" s="981"/>
      <c r="AE291" s="981"/>
      <c r="AF291" s="1202"/>
      <c r="AG291" s="981"/>
      <c r="AH291" s="981"/>
      <c r="AI291" s="981"/>
      <c r="AJ291" s="981"/>
      <c r="AK291" s="1202"/>
      <c r="AL291" s="981"/>
      <c r="AM291" s="981"/>
      <c r="AN291" s="981"/>
      <c r="AO291" s="981"/>
      <c r="AP291" s="1202"/>
      <c r="AQ291" s="981"/>
      <c r="AR291" s="981"/>
      <c r="AS291" s="981"/>
      <c r="AT291" s="981"/>
      <c r="AU291" s="1202"/>
      <c r="AV291" s="981"/>
      <c r="AW291" s="981"/>
      <c r="AX291" s="981"/>
      <c r="AY291" s="981"/>
      <c r="AZ291" s="1202"/>
      <c r="BA291" s="981"/>
      <c r="BB291" s="981"/>
      <c r="BC291" s="981"/>
      <c r="BD291" s="981"/>
      <c r="BE291" s="1202"/>
      <c r="BF291" s="981"/>
      <c r="BG291" s="981"/>
      <c r="BH291" s="982"/>
      <c r="BI291" s="981"/>
      <c r="BJ291" s="1202"/>
      <c r="BK291" s="981"/>
      <c r="BL291" s="981"/>
      <c r="BM291" s="981"/>
      <c r="BN291" s="981"/>
      <c r="BO291" s="1202"/>
      <c r="BP291" s="1202"/>
      <c r="BQ291" s="1202"/>
      <c r="BR291" s="1202"/>
      <c r="BS291" s="28"/>
    </row>
    <row r="292" spans="1:71" s="670" customFormat="1" ht="15">
      <c r="A292" s="29" t="s">
        <v>222</v>
      </c>
      <c r="B292" s="422"/>
      <c r="C292" s="1176">
        <f t="shared" si="791" ref="C292:AK292">C278/C275</f>
        <v>0.30295566502463056</v>
      </c>
      <c r="D292" s="1176">
        <f t="shared" si="791"/>
        <v>0.31494920174165458</v>
      </c>
      <c r="E292" s="1176">
        <f t="shared" si="791"/>
        <v>0.34050179211469533</v>
      </c>
      <c r="F292" s="1176">
        <f t="shared" si="791"/>
        <v>0.28305400372439476</v>
      </c>
      <c r="G292" s="1176">
        <f t="shared" si="791"/>
        <v>0.45428156748911463</v>
      </c>
      <c r="H292" s="313">
        <f t="shared" si="791"/>
        <v>0.33540372670807456</v>
      </c>
      <c r="I292" s="313">
        <f t="shared" si="791"/>
        <v>0.36153846153846153</v>
      </c>
      <c r="J292" s="313">
        <f t="shared" si="791"/>
        <v>0.3724137931034483</v>
      </c>
      <c r="K292" s="313">
        <f t="shared" si="791"/>
        <v>0.34210526315789475</v>
      </c>
      <c r="L292" s="1176">
        <f t="shared" si="791"/>
        <v>0.43610223642172524</v>
      </c>
      <c r="M292" s="313">
        <f t="shared" si="791"/>
        <v>0.16666666666666666</v>
      </c>
      <c r="N292" s="313">
        <f t="shared" si="791"/>
        <v>0.34070796460176989</v>
      </c>
      <c r="O292" s="313">
        <f t="shared" si="791"/>
        <v>0.33333333333333331</v>
      </c>
      <c r="P292" s="313">
        <f t="shared" si="791"/>
        <v>0.38095238095238093</v>
      </c>
      <c r="Q292" s="1176">
        <f t="shared" si="791"/>
        <v>0.39646017699115044</v>
      </c>
      <c r="R292" s="313">
        <f t="shared" si="791"/>
        <v>0.33333333333333331</v>
      </c>
      <c r="S292" s="313">
        <f t="shared" si="791"/>
        <v>0.53676470588235292</v>
      </c>
      <c r="T292" s="313">
        <f t="shared" si="791"/>
        <v>0.3651685393258427</v>
      </c>
      <c r="U292" s="313">
        <f t="shared" si="791"/>
        <v>-0.22397476340694006</v>
      </c>
      <c r="V292" s="1176">
        <f t="shared" si="791"/>
        <v>0.39517153748411687</v>
      </c>
      <c r="W292" s="313">
        <f t="shared" si="791"/>
        <v>0.30493273542600896</v>
      </c>
      <c r="X292" s="313">
        <f t="shared" si="791"/>
        <v>0.29268292682926828</v>
      </c>
      <c r="Y292" s="313">
        <f t="shared" si="791"/>
        <v>0.62068965517241381</v>
      </c>
      <c r="Z292" s="313">
        <f t="shared" si="791"/>
        <v>0.37827715355805241</v>
      </c>
      <c r="AA292" s="1176">
        <f t="shared" si="791"/>
        <v>0.21961325966850828</v>
      </c>
      <c r="AB292" s="313">
        <f t="shared" si="791"/>
        <v>0.18965517241379309</v>
      </c>
      <c r="AC292" s="313">
        <f t="shared" si="791"/>
        <v>0.20</v>
      </c>
      <c r="AD292" s="313">
        <f t="shared" si="791"/>
        <v>0.16803278688524589</v>
      </c>
      <c r="AE292" s="313">
        <f t="shared" si="791"/>
        <v>0.10256410256410256</v>
      </c>
      <c r="AF292" s="1176">
        <f t="shared" si="791"/>
        <v>0.31924882629107981</v>
      </c>
      <c r="AG292" s="313">
        <f t="shared" si="791"/>
        <v>0.21065375302663439</v>
      </c>
      <c r="AH292" s="313">
        <f t="shared" si="791"/>
        <v>0.19305019305019305</v>
      </c>
      <c r="AI292" s="313">
        <f t="shared" si="791"/>
        <v>0.19209039548022599</v>
      </c>
      <c r="AJ292" s="313">
        <f t="shared" si="791"/>
        <v>0.26254826254826252</v>
      </c>
      <c r="AK292" s="1176">
        <f t="shared" si="791"/>
        <v>0.23646209386281589</v>
      </c>
      <c r="AL292" s="313">
        <f t="shared" si="792" ref="AL292:AQ292">AL278/AL275</f>
        <v>0.22162162162162163</v>
      </c>
      <c r="AM292" s="313">
        <f t="shared" si="792"/>
        <v>0.26428571428571429</v>
      </c>
      <c r="AN292" s="313">
        <f t="shared" si="792"/>
        <v>-1.20</v>
      </c>
      <c r="AO292" s="313">
        <f t="shared" si="792"/>
        <v>0.22383720930232559</v>
      </c>
      <c r="AP292" s="1176">
        <f t="shared" si="792"/>
        <v>0.02359882005899705</v>
      </c>
      <c r="AQ292" s="313">
        <f t="shared" si="792"/>
        <v>0.20298507462686566</v>
      </c>
      <c r="AR292" s="313">
        <f t="shared" si="793" ref="AR292:AW292">AR278/AR275</f>
        <v>0.16666666666666666</v>
      </c>
      <c r="AS292" s="313">
        <f t="shared" si="793"/>
        <v>0.1797752808988764</v>
      </c>
      <c r="AT292" s="313">
        <f t="shared" si="793"/>
        <v>0.20224719101123595</v>
      </c>
      <c r="AU292" s="1176">
        <f t="shared" si="793"/>
        <v>0.12734082397003746</v>
      </c>
      <c r="AV292" s="313">
        <f t="shared" si="793"/>
        <v>0.19667590027700832</v>
      </c>
      <c r="AW292" s="313">
        <f t="shared" si="793"/>
        <v>0.18932038834951456</v>
      </c>
      <c r="AX292" s="313">
        <f>AX278/AX275</f>
        <v>0.21428571428571427</v>
      </c>
      <c r="AY292" s="313">
        <f>AY278/AY275</f>
        <v>0.20231213872832371</v>
      </c>
      <c r="AZ292" s="1176">
        <f>AZ278/AZ275</f>
        <v>0.20035618878005343</v>
      </c>
      <c r="BA292" s="313">
        <f t="shared" si="794" ref="BA292:BB292">BA278/BA275</f>
        <v>0.19696969696969696</v>
      </c>
      <c r="BB292" s="313">
        <f t="shared" si="794"/>
        <v>0.21568627450980393</v>
      </c>
      <c r="BC292" s="313">
        <f t="shared" si="795" ref="BC292:BH292">BC278/BC275</f>
        <v>0.19178082191780821</v>
      </c>
      <c r="BD292" s="313">
        <f t="shared" si="795"/>
        <v>0.21492537313432836</v>
      </c>
      <c r="BE292" s="1176">
        <f t="shared" si="795"/>
        <v>0.20596458527493011</v>
      </c>
      <c r="BF292" s="313">
        <f t="shared" si="795"/>
        <v>0.20394736842105263</v>
      </c>
      <c r="BG292" s="313">
        <f t="shared" si="795"/>
        <v>0.22878228782287824</v>
      </c>
      <c r="BH292" s="886">
        <f t="shared" si="795"/>
        <v>0.20960698689956331</v>
      </c>
      <c r="BI292" s="1069">
        <v>0.25</v>
      </c>
      <c r="BJ292" s="1174">
        <f>BJ278/BJ275</f>
        <v>0.22632029329500128</v>
      </c>
      <c r="BK292" s="1069">
        <v>0.40</v>
      </c>
      <c r="BL292" s="1069">
        <v>0.40</v>
      </c>
      <c r="BM292" s="1069">
        <v>0.30</v>
      </c>
      <c r="BN292" s="1069">
        <v>0.38</v>
      </c>
      <c r="BO292" s="1174">
        <f>BO278/BO275</f>
        <v>0.37274111617041394</v>
      </c>
      <c r="BP292" s="1203">
        <v>0.25</v>
      </c>
      <c r="BQ292" s="1203">
        <v>0.21499999999999991</v>
      </c>
      <c r="BR292" s="1204">
        <v>0.21499999999999991</v>
      </c>
      <c r="BS292" s="29"/>
    </row>
    <row r="293" spans="1:71" s="670" customFormat="1" ht="15">
      <c r="A293" s="410" t="s">
        <v>223</v>
      </c>
      <c r="B293" s="422"/>
      <c r="C293" s="1173">
        <f t="shared" si="796" ref="C293:AH293">C279/C275</f>
        <v>0.044334975369458129</v>
      </c>
      <c r="D293" s="1173">
        <f t="shared" si="796"/>
        <v>0.071117561683599423</v>
      </c>
      <c r="E293" s="1173">
        <f t="shared" si="796"/>
        <v>0.087813620071684584</v>
      </c>
      <c r="F293" s="1173">
        <f t="shared" si="796"/>
        <v>-0.03165735567970205</v>
      </c>
      <c r="G293" s="1173">
        <f t="shared" si="796"/>
        <v>-0.11175616835994194</v>
      </c>
      <c r="H293" s="424">
        <f t="shared" si="796"/>
        <v>0</v>
      </c>
      <c r="I293" s="424">
        <f t="shared" si="796"/>
        <v>0</v>
      </c>
      <c r="J293" s="424">
        <f t="shared" si="796"/>
        <v>0</v>
      </c>
      <c r="K293" s="424">
        <f t="shared" si="796"/>
        <v>0</v>
      </c>
      <c r="L293" s="1173">
        <f t="shared" si="796"/>
        <v>-0.084664536741214061</v>
      </c>
      <c r="M293" s="424">
        <f t="shared" si="796"/>
        <v>0</v>
      </c>
      <c r="N293" s="424">
        <f t="shared" si="796"/>
        <v>0</v>
      </c>
      <c r="O293" s="424">
        <f t="shared" si="796"/>
        <v>0</v>
      </c>
      <c r="P293" s="424">
        <f t="shared" si="796"/>
        <v>0</v>
      </c>
      <c r="Q293" s="1173">
        <f t="shared" si="796"/>
        <v>-0.051327433628318583</v>
      </c>
      <c r="R293" s="424">
        <f t="shared" si="796"/>
        <v>0</v>
      </c>
      <c r="S293" s="424">
        <f t="shared" si="796"/>
        <v>0</v>
      </c>
      <c r="T293" s="424">
        <f t="shared" si="796"/>
        <v>0</v>
      </c>
      <c r="U293" s="424">
        <f t="shared" si="796"/>
        <v>0</v>
      </c>
      <c r="V293" s="1173">
        <f t="shared" si="796"/>
        <v>-0.24396442185514614</v>
      </c>
      <c r="W293" s="424">
        <f t="shared" si="796"/>
        <v>0</v>
      </c>
      <c r="X293" s="424">
        <f t="shared" si="796"/>
        <v>0</v>
      </c>
      <c r="Y293" s="424">
        <f t="shared" si="796"/>
        <v>0</v>
      </c>
      <c r="Z293" s="424">
        <f t="shared" si="796"/>
        <v>0</v>
      </c>
      <c r="AA293" s="1173">
        <f t="shared" si="796"/>
        <v>0.12154696132596685</v>
      </c>
      <c r="AB293" s="424">
        <f t="shared" si="796"/>
        <v>0</v>
      </c>
      <c r="AC293" s="424">
        <f t="shared" si="796"/>
        <v>0</v>
      </c>
      <c r="AD293" s="424">
        <f t="shared" si="796"/>
        <v>0</v>
      </c>
      <c r="AE293" s="424">
        <f t="shared" si="796"/>
        <v>0</v>
      </c>
      <c r="AF293" s="1173">
        <f t="shared" si="796"/>
        <v>-0.12832550860719874</v>
      </c>
      <c r="AG293" s="424">
        <f t="shared" si="796"/>
        <v>0</v>
      </c>
      <c r="AH293" s="424">
        <f t="shared" si="796"/>
        <v>0</v>
      </c>
      <c r="AI293" s="424">
        <f t="shared" si="797" ref="AI293:BG293">AI279/AI275</f>
        <v>0</v>
      </c>
      <c r="AJ293" s="424">
        <f t="shared" si="797"/>
        <v>0</v>
      </c>
      <c r="AK293" s="1173">
        <f t="shared" si="797"/>
        <v>-0.020758122743682311</v>
      </c>
      <c r="AL293" s="424">
        <f t="shared" si="797"/>
        <v>0</v>
      </c>
      <c r="AM293" s="424">
        <f t="shared" si="797"/>
        <v>0</v>
      </c>
      <c r="AN293" s="424">
        <f t="shared" si="797"/>
        <v>0</v>
      </c>
      <c r="AO293" s="424">
        <f t="shared" si="797"/>
        <v>0</v>
      </c>
      <c r="AP293" s="1173">
        <f t="shared" si="797"/>
        <v>0.050147492625368731</v>
      </c>
      <c r="AQ293" s="424">
        <f t="shared" si="797"/>
        <v>0</v>
      </c>
      <c r="AR293" s="424">
        <f t="shared" si="797"/>
        <v>0</v>
      </c>
      <c r="AS293" s="424">
        <f t="shared" si="797"/>
        <v>0</v>
      </c>
      <c r="AT293" s="424">
        <f t="shared" si="797"/>
        <v>0</v>
      </c>
      <c r="AU293" s="1173">
        <f t="shared" si="797"/>
        <v>0.062921348314606745</v>
      </c>
      <c r="AV293" s="424">
        <f t="shared" si="797"/>
        <v>0</v>
      </c>
      <c r="AW293" s="313">
        <f t="shared" si="797"/>
        <v>0</v>
      </c>
      <c r="AX293" s="313">
        <f t="shared" si="797"/>
        <v>0</v>
      </c>
      <c r="AY293" s="424">
        <f t="shared" si="797"/>
        <v>0</v>
      </c>
      <c r="AZ293" s="1173">
        <f t="shared" si="797"/>
        <v>0</v>
      </c>
      <c r="BA293" s="424">
        <f t="shared" si="797"/>
        <v>0</v>
      </c>
      <c r="BB293" s="424">
        <f t="shared" si="797"/>
        <v>0</v>
      </c>
      <c r="BC293" s="313">
        <f t="shared" si="797"/>
        <v>0</v>
      </c>
      <c r="BD293" s="424">
        <f t="shared" si="797"/>
        <v>0</v>
      </c>
      <c r="BE293" s="1173">
        <f t="shared" si="797"/>
        <v>0</v>
      </c>
      <c r="BF293" s="313">
        <f t="shared" si="797"/>
        <v>0</v>
      </c>
      <c r="BG293" s="313">
        <f t="shared" si="797"/>
        <v>0</v>
      </c>
      <c r="BH293" s="886">
        <f>BH279/BH275</f>
        <v>0</v>
      </c>
      <c r="BI293" s="1069">
        <v>0</v>
      </c>
      <c r="BJ293" s="1174">
        <f>BJ279/BJ275</f>
        <v>0</v>
      </c>
      <c r="BK293" s="1069">
        <v>0</v>
      </c>
      <c r="BL293" s="1069">
        <v>0</v>
      </c>
      <c r="BM293" s="1069">
        <v>0</v>
      </c>
      <c r="BN293" s="1069">
        <v>0</v>
      </c>
      <c r="BO293" s="1174">
        <f>BO279/BO275</f>
        <v>0</v>
      </c>
      <c r="BP293" s="1203">
        <v>0</v>
      </c>
      <c r="BQ293" s="1203">
        <v>0</v>
      </c>
      <c r="BR293" s="1204">
        <v>0</v>
      </c>
      <c r="BS293" s="29"/>
    </row>
    <row r="294" spans="1:71" s="667" customFormat="1" ht="15">
      <c r="A294" s="954"/>
      <c r="B294" s="500"/>
      <c r="C294" s="1161"/>
      <c r="D294" s="1161"/>
      <c r="E294" s="1161"/>
      <c r="F294" s="1161"/>
      <c r="G294" s="1161"/>
      <c r="H294" s="971"/>
      <c r="I294" s="971"/>
      <c r="J294" s="971"/>
      <c r="K294" s="971"/>
      <c r="L294" s="1161"/>
      <c r="M294" s="971"/>
      <c r="N294" s="971"/>
      <c r="O294" s="971"/>
      <c r="P294" s="971"/>
      <c r="Q294" s="1161"/>
      <c r="R294" s="971"/>
      <c r="S294" s="971"/>
      <c r="T294" s="971"/>
      <c r="U294" s="971"/>
      <c r="V294" s="1161"/>
      <c r="W294" s="971"/>
      <c r="X294" s="971"/>
      <c r="Y294" s="971"/>
      <c r="Z294" s="971"/>
      <c r="AA294" s="1161"/>
      <c r="AB294" s="971"/>
      <c r="AC294" s="971"/>
      <c r="AD294" s="971"/>
      <c r="AE294" s="971"/>
      <c r="AF294" s="1161"/>
      <c r="AG294" s="971"/>
      <c r="AH294" s="971"/>
      <c r="AI294" s="971"/>
      <c r="AJ294" s="971"/>
      <c r="AK294" s="1161"/>
      <c r="AL294" s="971"/>
      <c r="AM294" s="971"/>
      <c r="AN294" s="971"/>
      <c r="AO294" s="971"/>
      <c r="AP294" s="1161"/>
      <c r="AQ294" s="971"/>
      <c r="AR294" s="971"/>
      <c r="AS294" s="971"/>
      <c r="AT294" s="971"/>
      <c r="AU294" s="1161"/>
      <c r="AV294" s="971"/>
      <c r="AW294" s="971"/>
      <c r="AX294" s="971"/>
      <c r="AY294" s="971"/>
      <c r="AZ294" s="1161"/>
      <c r="BA294" s="971"/>
      <c r="BB294" s="971"/>
      <c r="BC294" s="971"/>
      <c r="BD294" s="971"/>
      <c r="BE294" s="1161"/>
      <c r="BF294" s="971"/>
      <c r="BG294" s="971"/>
      <c r="BH294" s="972"/>
      <c r="BI294" s="973"/>
      <c r="BJ294" s="1162"/>
      <c r="BK294" s="973"/>
      <c r="BL294" s="973"/>
      <c r="BM294" s="973"/>
      <c r="BN294" s="973"/>
      <c r="BO294" s="1162"/>
      <c r="BP294" s="1161"/>
      <c r="BQ294" s="1161"/>
      <c r="BR294" s="1162"/>
      <c r="BS294" s="664"/>
    </row>
    <row r="295" spans="1:71" s="684" customFormat="1" ht="15">
      <c r="A295" s="30" t="s">
        <v>224</v>
      </c>
      <c r="B295" s="411"/>
      <c r="C295" s="1205">
        <f t="shared" si="798" ref="C295:R295">C$285/C300</f>
        <v>4.4857389801210026</v>
      </c>
      <c r="D295" s="1205">
        <f t="shared" si="798"/>
        <v>4.386446886446886</v>
      </c>
      <c r="E295" s="1205">
        <f t="shared" si="798"/>
        <v>3.3761105626850938</v>
      </c>
      <c r="F295" s="1205">
        <f t="shared" si="798"/>
        <v>5.1804670912951165</v>
      </c>
      <c r="G295" s="1205">
        <f t="shared" si="798"/>
        <v>5.274356103023516</v>
      </c>
      <c r="H295" s="656">
        <f t="shared" si="798"/>
        <v>1.1495535714285714</v>
      </c>
      <c r="I295" s="656">
        <f t="shared" si="798"/>
        <v>1.1830357142857144</v>
      </c>
      <c r="J295" s="656">
        <f t="shared" si="798"/>
        <v>1.303370786516854</v>
      </c>
      <c r="K295" s="656">
        <f t="shared" si="798"/>
        <v>1.4382785956964892</v>
      </c>
      <c r="L295" s="1205">
        <f t="shared" si="798"/>
        <v>5.0786516853932584</v>
      </c>
      <c r="M295" s="656">
        <f t="shared" si="798"/>
        <v>0.21689497716894979</v>
      </c>
      <c r="N295" s="656">
        <f t="shared" si="798"/>
        <v>1.6077537058152793</v>
      </c>
      <c r="O295" s="656">
        <f t="shared" si="798"/>
        <v>0.72</v>
      </c>
      <c r="P295" s="656">
        <f t="shared" si="798"/>
        <v>1.4793577981651376</v>
      </c>
      <c r="Q295" s="1205">
        <f t="shared" si="798"/>
        <v>4.0182648401826491</v>
      </c>
      <c r="R295" s="656">
        <f t="shared" si="798"/>
        <v>1.1622554660529343</v>
      </c>
      <c r="S295" s="656">
        <f>S285/S300</f>
        <v>0.62211981566820274</v>
      </c>
      <c r="T295" s="656">
        <f>T$285/T300</f>
        <v>1.2543153049482163</v>
      </c>
      <c r="U295" s="656">
        <f>U$285/U300</f>
        <v>4.4227455485353238</v>
      </c>
      <c r="V295" s="1205">
        <f>V$285/V300</f>
        <v>7.4683544303797467</v>
      </c>
      <c r="W295" s="656">
        <f>W$285/W300</f>
        <v>1.7545871559633026</v>
      </c>
      <c r="X295" s="656">
        <f>X285/X300</f>
        <v>1.6514806378132119</v>
      </c>
      <c r="Y295" s="656">
        <f>Y$285/Y300</f>
        <v>0.12485811577752555</v>
      </c>
      <c r="Z295" s="656">
        <f>Z$285/Z300</f>
        <v>1.8820861678004535</v>
      </c>
      <c r="AA295" s="1205">
        <f>AA$285/AA300</f>
        <v>5.4100227790432802</v>
      </c>
      <c r="AB295" s="656">
        <f>AB$285/AB300</f>
        <v>1.6365688487584651</v>
      </c>
      <c r="AC295" s="656">
        <f>AC285/AC300</f>
        <v>2.3595505617977528</v>
      </c>
      <c r="AD295" s="656">
        <f>AD$285/AD300</f>
        <v>2.2895622895622898</v>
      </c>
      <c r="AE295" s="656">
        <f>AE$285/AE300</f>
        <v>-0.32474804031354987</v>
      </c>
      <c r="AF295" s="1205">
        <f>AF$285/AF300</f>
        <v>5.9550561797752808</v>
      </c>
      <c r="AG295" s="656">
        <f>AG$285/AG300</f>
        <v>3.6800894854586126</v>
      </c>
      <c r="AH295" s="656">
        <f>AH285/AH300</f>
        <v>2.3411371237458192</v>
      </c>
      <c r="AI295" s="656">
        <f>AI$285/AI300</f>
        <v>1.6333333333333333</v>
      </c>
      <c r="AJ295" s="656">
        <f>AJ$285/AJ300</f>
        <v>2.3392461197339247</v>
      </c>
      <c r="AK295" s="1205">
        <f>AK$285/AK300</f>
        <v>9.9777530589543932</v>
      </c>
      <c r="AL295" s="656">
        <f>AL$285/AL300</f>
        <v>-3.3333333333333335</v>
      </c>
      <c r="AM295" s="656">
        <f>AM285/AM300</f>
        <v>1.9732441471571907</v>
      </c>
      <c r="AN295" s="656">
        <f>AN$285/AN300</f>
        <v>1.8594104308390023</v>
      </c>
      <c r="AO295" s="656">
        <f>AO$285/AO300</f>
        <v>7.990762124711317</v>
      </c>
      <c r="AP295" s="1205">
        <f>AP$285/AP300</f>
        <v>8.2525366403607663</v>
      </c>
      <c r="AQ295" s="656">
        <f>AQ$285/AQ300</f>
        <v>4.877764842840512</v>
      </c>
      <c r="AR295" s="656">
        <f>AR285/AR300</f>
        <v>11.788235294117648</v>
      </c>
      <c r="AS295" s="656">
        <f>AS$285/AS300</f>
        <v>2.5825471698113209</v>
      </c>
      <c r="AT295" s="656">
        <f>AT$285/AT300</f>
        <v>4.1912632821723745</v>
      </c>
      <c r="AU295" s="1205">
        <f>AU$285/AU300</f>
        <v>23.443008225616921</v>
      </c>
      <c r="AV295" s="656">
        <f>AV$285/AV300</f>
        <v>3.4117647058823528</v>
      </c>
      <c r="AW295" s="656">
        <f>AW285/AW300</f>
        <v>1.9623971797884843</v>
      </c>
      <c r="AX295" s="656">
        <f>AX$285/AX300</f>
        <v>1.936619718309859</v>
      </c>
      <c r="AY295" s="656">
        <f>AY$285/AY300</f>
        <v>3.2432432432432439</v>
      </c>
      <c r="AZ295" s="1205">
        <f>AZ$285/AZ300</f>
        <v>10.552291421856641</v>
      </c>
      <c r="BA295" s="656">
        <f>BA$285/BA300</f>
        <v>2.488262910798122</v>
      </c>
      <c r="BB295" s="656">
        <f t="shared" si="799" ref="BB295">BB$285/BB300</f>
        <v>2.3501762632197418</v>
      </c>
      <c r="BC295" s="656">
        <f t="shared" si="800" ref="BC295:BH295">BC$285/BC300</f>
        <v>2.0921985815602837</v>
      </c>
      <c r="BD295" s="656">
        <f t="shared" si="800"/>
        <v>3.1346841477949927</v>
      </c>
      <c r="BE295" s="1205">
        <f t="shared" si="800"/>
        <v>10.059031877213695</v>
      </c>
      <c r="BF295" s="656">
        <f t="shared" si="800"/>
        <v>2.8912783751493429</v>
      </c>
      <c r="BG295" s="656">
        <f t="shared" si="800"/>
        <v>2.4910607866507744</v>
      </c>
      <c r="BH295" s="965">
        <f t="shared" si="800"/>
        <v>2.1573301549463646</v>
      </c>
      <c r="BI295" s="761">
        <f ca="1">BI285/BI300</f>
        <v>3.7594738191420336</v>
      </c>
      <c r="BJ295" s="1206">
        <f ca="1" t="shared" si="801" ref="BJ295">BJ285/BJ300</f>
        <v>11.299204754107995</v>
      </c>
      <c r="BK295" s="761">
        <f ca="1" t="shared" si="802" ref="BK295:BR295">BK285/BK300</f>
        <v>3.4955903234651742</v>
      </c>
      <c r="BL295" s="761">
        <f t="shared" ca="1" si="802"/>
        <v>3.0953501530528418</v>
      </c>
      <c r="BM295" s="761">
        <f t="shared" ca="1" si="802"/>
        <v>3.3341890230205782</v>
      </c>
      <c r="BN295" s="761">
        <f t="shared" ca="1" si="802"/>
        <v>4.0177268702217983</v>
      </c>
      <c r="BO295" s="1206">
        <f t="shared" ca="1" si="802"/>
        <v>13.942856369760383</v>
      </c>
      <c r="BP295" s="1207">
        <f t="shared" ca="1" si="802"/>
        <v>15.045831940690285</v>
      </c>
      <c r="BQ295" s="1207">
        <f t="shared" ca="1" si="802"/>
        <v>18.639201633897365</v>
      </c>
      <c r="BR295" s="1206">
        <f t="shared" ca="1" si="802"/>
        <v>19.490543055070933</v>
      </c>
      <c r="BS295" s="34"/>
    </row>
    <row r="296" spans="1:71" s="684" customFormat="1" ht="15">
      <c r="A296" s="30" t="s">
        <v>225</v>
      </c>
      <c r="B296" s="411"/>
      <c r="C296" s="1205">
        <f t="shared" si="803" ref="C296:AK296">C287/C301</f>
        <v>4.4434931506849313</v>
      </c>
      <c r="D296" s="1205">
        <f t="shared" si="803"/>
        <v>4.3348416289592757</v>
      </c>
      <c r="E296" s="1205">
        <f t="shared" si="803"/>
        <v>3.323615160349854</v>
      </c>
      <c r="F296" s="1205">
        <f t="shared" si="803"/>
        <v>5.0886339937434828</v>
      </c>
      <c r="G296" s="1205">
        <f t="shared" si="803"/>
        <v>5.1644736842105265</v>
      </c>
      <c r="H296" s="656">
        <f t="shared" si="803"/>
        <v>1.1244541484716157</v>
      </c>
      <c r="I296" s="656">
        <f t="shared" si="803"/>
        <v>1.1572052401746726</v>
      </c>
      <c r="J296" s="656">
        <f t="shared" si="803"/>
        <v>1.276127612761276</v>
      </c>
      <c r="K296" s="656">
        <f t="shared" si="803"/>
        <v>1.4146950051240921</v>
      </c>
      <c r="L296" s="1205">
        <f t="shared" si="803"/>
        <v>4.9670329670329672</v>
      </c>
      <c r="M296" s="656">
        <f t="shared" si="803"/>
        <v>0.21252796420581654</v>
      </c>
      <c r="N296" s="656">
        <f t="shared" si="803"/>
        <v>1.5754189944134078</v>
      </c>
      <c r="O296" s="656">
        <f t="shared" si="803"/>
        <v>0.70548712206047037</v>
      </c>
      <c r="P296" s="656">
        <f t="shared" si="803"/>
        <v>1.4457345227955352</v>
      </c>
      <c r="Q296" s="1205">
        <f t="shared" si="803"/>
        <v>3.9373601789709172</v>
      </c>
      <c r="R296" s="656">
        <f t="shared" si="803"/>
        <v>1.1412429378531073</v>
      </c>
      <c r="S296" s="656">
        <f t="shared" si="803"/>
        <v>0.61085972850678727</v>
      </c>
      <c r="T296" s="656">
        <f t="shared" si="803"/>
        <v>1.231638418079096</v>
      </c>
      <c r="U296" s="656">
        <f t="shared" si="803"/>
        <v>4.3368553855858698</v>
      </c>
      <c r="V296" s="1205">
        <f t="shared" si="803"/>
        <v>7.333333333333333</v>
      </c>
      <c r="W296" s="656">
        <f t="shared" si="803"/>
        <v>1.7133258678611423</v>
      </c>
      <c r="X296" s="656">
        <f t="shared" si="803"/>
        <v>1.6146993318485523</v>
      </c>
      <c r="Y296" s="656">
        <f t="shared" si="803"/>
        <v>0.12222222222222222</v>
      </c>
      <c r="Z296" s="656">
        <f t="shared" si="803"/>
        <v>1.8423973362930079</v>
      </c>
      <c r="AA296" s="1205">
        <f t="shared" si="803"/>
        <v>5.2895322939866372</v>
      </c>
      <c r="AB296" s="656">
        <f t="shared" si="803"/>
        <v>1.6039823008849556</v>
      </c>
      <c r="AC296" s="656">
        <f t="shared" si="803"/>
        <v>2.3153252480705624</v>
      </c>
      <c r="AD296" s="656">
        <f t="shared" si="803"/>
        <v>2.2484046246597087</v>
      </c>
      <c r="AE296" s="656">
        <f t="shared" si="803"/>
        <v>-0.32474804031354987</v>
      </c>
      <c r="AF296" s="1205">
        <f t="shared" si="803"/>
        <v>5.8498896247240619</v>
      </c>
      <c r="AG296" s="656">
        <f t="shared" si="803"/>
        <v>3.6273428886438808</v>
      </c>
      <c r="AH296" s="656">
        <f t="shared" si="803"/>
        <v>2.3076923076923075</v>
      </c>
      <c r="AI296" s="656">
        <f t="shared" si="803"/>
        <v>1.6136114160263448</v>
      </c>
      <c r="AJ296" s="656">
        <f t="shared" si="803"/>
        <v>2.3110624315443595</v>
      </c>
      <c r="AK296" s="1205">
        <f t="shared" si="803"/>
        <v>9.8571428571428577</v>
      </c>
      <c r="AL296" s="656">
        <f t="shared" si="804" ref="AL296:AQ296">AL287/AL301</f>
        <v>-3.3333333333333335</v>
      </c>
      <c r="AM296" s="656">
        <f t="shared" si="804"/>
        <v>1.9666666666666666</v>
      </c>
      <c r="AN296" s="656">
        <f t="shared" si="804"/>
        <v>1.8531073446327684</v>
      </c>
      <c r="AO296" s="656">
        <f t="shared" si="804"/>
        <v>7.9357798165137616</v>
      </c>
      <c r="AP296" s="1205">
        <f t="shared" si="804"/>
        <v>8.2062780269058297</v>
      </c>
      <c r="AQ296" s="656">
        <f t="shared" si="804"/>
        <v>4.8383371824480372</v>
      </c>
      <c r="AR296" s="656">
        <f t="shared" si="805" ref="AR296:AW296">AR287/AR301</f>
        <v>11.70314653460721</v>
      </c>
      <c r="AS296" s="656">
        <f t="shared" si="805"/>
        <v>2.5704225352112675</v>
      </c>
      <c r="AT296" s="656">
        <f t="shared" si="805"/>
        <v>4.166666666666667</v>
      </c>
      <c r="AU296" s="1205">
        <f t="shared" si="805"/>
        <v>23.306074766355142</v>
      </c>
      <c r="AV296" s="656">
        <f t="shared" si="805"/>
        <v>3.403755868544601</v>
      </c>
      <c r="AW296" s="656">
        <f t="shared" si="805"/>
        <v>1.9577960140679953</v>
      </c>
      <c r="AX296" s="656">
        <f t="shared" si="806" ref="AX296:BJ296">AX287/AX301</f>
        <v>1.9320843091334894</v>
      </c>
      <c r="AY296" s="656">
        <f t="shared" si="806"/>
        <v>3.2356389214536931</v>
      </c>
      <c r="AZ296" s="1205">
        <f t="shared" si="806"/>
        <v>10.527549824150059</v>
      </c>
      <c r="BA296" s="656">
        <f>BA287/BA301</f>
        <v>2.4830752652908243</v>
      </c>
      <c r="BB296" s="656">
        <f t="shared" si="807" ref="BB296">BB287/BB301</f>
        <v>2.347417840375587</v>
      </c>
      <c r="BC296" s="656">
        <f t="shared" si="808" ref="BC296:BI296">BC287/BC301</f>
        <v>2.0897284533648168</v>
      </c>
      <c r="BD296" s="656">
        <f t="shared" si="808"/>
        <v>3.1384248210023866</v>
      </c>
      <c r="BE296" s="1205">
        <f t="shared" si="808"/>
        <v>10.047169811320755</v>
      </c>
      <c r="BF296" s="656">
        <f>BF287/BF301</f>
        <v>2.8878281622911697</v>
      </c>
      <c r="BG296" s="656">
        <f>BG287/BG301</f>
        <v>2.4910607866507744</v>
      </c>
      <c r="BH296" s="965">
        <f>BH287/BH301</f>
        <v>2.1573301549463646</v>
      </c>
      <c r="BI296" s="761">
        <f t="shared" ca="1" si="808"/>
        <v>3.7575950216312179</v>
      </c>
      <c r="BJ296" s="1206">
        <f t="shared" ca="1" si="806"/>
        <v>11.294958803767262</v>
      </c>
      <c r="BK296" s="761">
        <f ca="1" t="shared" si="809" ref="BK296:BR296">BK287/BK301</f>
        <v>3.4920982252399346</v>
      </c>
      <c r="BL296" s="761">
        <f t="shared" ca="1" si="809"/>
        <v>3.0922578951576845</v>
      </c>
      <c r="BM296" s="761">
        <f t="shared" ca="1" si="809"/>
        <v>3.3308581648557229</v>
      </c>
      <c r="BN296" s="761">
        <f t="shared" ca="1" si="809"/>
        <v>4.0137131570647346</v>
      </c>
      <c r="BO296" s="1206">
        <f t="shared" ca="1" si="809"/>
        <v>13.928927442318068</v>
      </c>
      <c r="BP296" s="1207">
        <f t="shared" ca="1" si="809"/>
        <v>15.030801139550736</v>
      </c>
      <c r="BQ296" s="1207">
        <f t="shared" ca="1" si="809"/>
        <v>18.620581052844525</v>
      </c>
      <c r="BR296" s="1206">
        <f t="shared" ca="1" si="809"/>
        <v>19.47107198308785</v>
      </c>
      <c r="BS296" s="34"/>
    </row>
    <row r="297" spans="1:71" s="684" customFormat="1" ht="15">
      <c r="A297" s="30" t="s">
        <v>506</v>
      </c>
      <c r="B297" s="411"/>
      <c r="C297" s="1205">
        <f t="shared" si="810" ref="C297:AK297">C290/C302</f>
        <v>4.4434931506849313</v>
      </c>
      <c r="D297" s="1205">
        <f t="shared" si="810"/>
        <v>4.3348416289592757</v>
      </c>
      <c r="E297" s="1205">
        <f t="shared" si="810"/>
        <v>3.323615160349854</v>
      </c>
      <c r="F297" s="1205">
        <f t="shared" si="810"/>
        <v>5.0886339937434828</v>
      </c>
      <c r="G297" s="1205">
        <f t="shared" si="810"/>
        <v>5.1644736842105265</v>
      </c>
      <c r="H297" s="656">
        <f t="shared" si="810"/>
        <v>1.1244541484716157</v>
      </c>
      <c r="I297" s="656">
        <f t="shared" si="810"/>
        <v>1.1572052401746726</v>
      </c>
      <c r="J297" s="656">
        <f t="shared" si="810"/>
        <v>1.276127612761276</v>
      </c>
      <c r="K297" s="656">
        <f t="shared" si="810"/>
        <v>1.4146950051240921</v>
      </c>
      <c r="L297" s="1205">
        <f t="shared" si="810"/>
        <v>4.9670329670329672</v>
      </c>
      <c r="M297" s="656">
        <f t="shared" si="810"/>
        <v>1.2527964205816553</v>
      </c>
      <c r="N297" s="656">
        <f t="shared" si="810"/>
        <v>1.2849162011173185</v>
      </c>
      <c r="O297" s="656">
        <f t="shared" si="810"/>
        <v>1.3773796192609182</v>
      </c>
      <c r="P297" s="656">
        <f t="shared" si="810"/>
        <v>1.5241852333348278</v>
      </c>
      <c r="Q297" s="1205">
        <f t="shared" si="810"/>
        <v>5.4362416107382545</v>
      </c>
      <c r="R297" s="656">
        <f t="shared" si="810"/>
        <v>1.2542372881355932</v>
      </c>
      <c r="S297" s="656">
        <f t="shared" si="810"/>
        <v>1.2782805429864252</v>
      </c>
      <c r="T297" s="656">
        <f t="shared" si="810"/>
        <v>1.5141242937853108</v>
      </c>
      <c r="U297" s="656">
        <f t="shared" si="810"/>
        <v>1.9825624619821118</v>
      </c>
      <c r="V297" s="1205">
        <f t="shared" si="810"/>
        <v>6.0338983050847457</v>
      </c>
      <c r="W297" s="656">
        <f t="shared" si="810"/>
        <v>1.6909294512877939</v>
      </c>
      <c r="X297" s="656">
        <f t="shared" si="810"/>
        <v>1.6146993318485523</v>
      </c>
      <c r="Y297" s="656">
        <f t="shared" si="810"/>
        <v>1.0555555555555556</v>
      </c>
      <c r="Z297" s="656">
        <f t="shared" si="810"/>
        <v>2.1864594894561598</v>
      </c>
      <c r="AA297" s="1205">
        <f t="shared" si="810"/>
        <v>6.5478841870824054</v>
      </c>
      <c r="AB297" s="656">
        <f t="shared" si="810"/>
        <v>2.4225663716814156</v>
      </c>
      <c r="AC297" s="656">
        <f t="shared" si="810"/>
        <v>2.0396912899669237</v>
      </c>
      <c r="AD297" s="656">
        <f t="shared" si="810"/>
        <v>2.1822750768755994</v>
      </c>
      <c r="AE297" s="656">
        <f t="shared" si="810"/>
        <v>1.7805151175811871</v>
      </c>
      <c r="AF297" s="1205">
        <f t="shared" si="810"/>
        <v>8.3995584988962477</v>
      </c>
      <c r="AG297" s="656">
        <f t="shared" si="810"/>
        <v>2.0286659316427782</v>
      </c>
      <c r="AH297" s="656">
        <f t="shared" si="810"/>
        <v>2.1098901098901099</v>
      </c>
      <c r="AI297" s="656">
        <f t="shared" si="810"/>
        <v>2.2502744237102088</v>
      </c>
      <c r="AJ297" s="656">
        <f t="shared" si="810"/>
        <v>2.2234392113910189</v>
      </c>
      <c r="AK297" s="1205">
        <f t="shared" si="810"/>
        <v>8.615384615384615</v>
      </c>
      <c r="AL297" s="656">
        <f t="shared" si="811" ref="AL297:AQ297">AL290/AL302</f>
        <v>1.3842746400885937</v>
      </c>
      <c r="AM297" s="656">
        <f t="shared" si="811"/>
        <v>0.66666666666666663</v>
      </c>
      <c r="AN297" s="656">
        <f t="shared" si="811"/>
        <v>1.3672316384180792</v>
      </c>
      <c r="AO297" s="656">
        <f t="shared" si="811"/>
        <v>2.0068807339449539</v>
      </c>
      <c r="AP297" s="1205">
        <f t="shared" si="811"/>
        <v>5.3923766816143495</v>
      </c>
      <c r="AQ297" s="656">
        <f t="shared" si="811"/>
        <v>2.3787528868360277</v>
      </c>
      <c r="AR297" s="656">
        <f t="shared" si="812" ref="AR297:AW297">AR290/AR302</f>
        <v>2.3943563269405965</v>
      </c>
      <c r="AS297" s="656">
        <f t="shared" si="812"/>
        <v>2.7112676056338025</v>
      </c>
      <c r="AT297" s="656">
        <f t="shared" si="812"/>
        <v>4.119718309859155</v>
      </c>
      <c r="AU297" s="1205">
        <f t="shared" si="812"/>
        <v>11.600467289719626</v>
      </c>
      <c r="AV297" s="656">
        <f t="shared" si="812"/>
        <v>3.556338028169014</v>
      </c>
      <c r="AW297" s="656">
        <f t="shared" si="812"/>
        <v>2.8487690504103167</v>
      </c>
      <c r="AX297" s="656">
        <f t="shared" si="813" ref="AX297:BJ297">AX290/AX302</f>
        <v>2.2482435597189694</v>
      </c>
      <c r="AY297" s="656">
        <f t="shared" si="813"/>
        <v>2.9894490035169987</v>
      </c>
      <c r="AZ297" s="1205">
        <f t="shared" si="813"/>
        <v>11.64126611957796</v>
      </c>
      <c r="BA297" s="656">
        <f>BA290/BA302</f>
        <v>2.8930169364473284</v>
      </c>
      <c r="BB297" s="656">
        <f t="shared" si="814" ref="BB297">BB290/BB302</f>
        <v>2.3708920187793425</v>
      </c>
      <c r="BC297" s="656">
        <f t="shared" si="815" ref="BC297:BI297">BC290/BC302</f>
        <v>2.4557260920897286</v>
      </c>
      <c r="BD297" s="656">
        <f t="shared" si="815"/>
        <v>2.8400954653937949</v>
      </c>
      <c r="BE297" s="1205">
        <f t="shared" si="815"/>
        <v>10.554245283018869</v>
      </c>
      <c r="BF297" s="656">
        <f>BF290/BF302</f>
        <v>2.7565632458233891</v>
      </c>
      <c r="BG297" s="656">
        <f>BG290/BG302</f>
        <v>2.5625744934445769</v>
      </c>
      <c r="BH297" s="965">
        <f>BH290/BH302</f>
        <v>2.3122765196662693</v>
      </c>
      <c r="BI297" s="761">
        <f t="shared" ca="1" si="815"/>
        <v>3.3109825294521573</v>
      </c>
      <c r="BJ297" s="1206">
        <f t="shared" ca="1" si="813"/>
        <v>10.943298147184773</v>
      </c>
      <c r="BK297" s="761">
        <f ca="1" t="shared" si="816" ref="BK297:BR297">BK290/BK302</f>
        <v>3.2421201561908992</v>
      </c>
      <c r="BL297" s="761">
        <f t="shared" ca="1" si="816"/>
        <v>2.842279826108649</v>
      </c>
      <c r="BM297" s="761">
        <f t="shared" ca="1" si="816"/>
        <v>3.0392170842985151</v>
      </c>
      <c r="BN297" s="761">
        <f t="shared" ca="1" si="816"/>
        <v>3.6446979122780636</v>
      </c>
      <c r="BO297" s="1206">
        <f t="shared" ca="1" si="816"/>
        <v>12.768314978876118</v>
      </c>
      <c r="BP297" s="1207">
        <f t="shared" ca="1" si="816"/>
        <v>13.780910794305559</v>
      </c>
      <c r="BQ297" s="1207">
        <f t="shared" ca="1" si="816"/>
        <v>17.312362491487907</v>
      </c>
      <c r="BR297" s="1206">
        <f t="shared" ca="1" si="816"/>
        <v>18.162853421731231</v>
      </c>
      <c r="BS297" s="34"/>
    </row>
    <row r="298" spans="1:71" s="685" customFormat="1" ht="15">
      <c r="A298" s="60" t="str">
        <f>CONCATENATE("Consensus Estimates - ",IFERROR(LEFT(A297,FIND("(",A297)-1),A297))</f>
        <v>Consensus Estimates - Core Net Operating Earnings Per Share - WAD</v>
      </c>
      <c r="B298" s="167"/>
      <c r="C298" s="1208"/>
      <c r="D298" s="1208"/>
      <c r="E298" s="1208"/>
      <c r="F298" s="1208"/>
      <c r="G298" s="1208"/>
      <c r="H298" s="316"/>
      <c r="I298" s="316"/>
      <c r="J298" s="316"/>
      <c r="K298" s="316"/>
      <c r="L298" s="1208"/>
      <c r="M298" s="316"/>
      <c r="N298" s="316"/>
      <c r="O298" s="316"/>
      <c r="P298" s="316"/>
      <c r="Q298" s="1208"/>
      <c r="R298" s="316"/>
      <c r="S298" s="326"/>
      <c r="T298" s="316"/>
      <c r="U298" s="316"/>
      <c r="V298" s="1208"/>
      <c r="W298" s="316"/>
      <c r="X298" s="326"/>
      <c r="Y298" s="316"/>
      <c r="Z298" s="316"/>
      <c r="AA298" s="1208"/>
      <c r="AB298" s="316"/>
      <c r="AC298" s="326"/>
      <c r="AD298" s="316"/>
      <c r="AE298" s="316"/>
      <c r="AF298" s="1208"/>
      <c r="AG298" s="316"/>
      <c r="AH298" s="326"/>
      <c r="AI298" s="316"/>
      <c r="AJ298" s="316"/>
      <c r="AK298" s="1208"/>
      <c r="AL298" s="316"/>
      <c r="AM298" s="326"/>
      <c r="AN298" s="316"/>
      <c r="AO298" s="316"/>
      <c r="AP298" s="1208"/>
      <c r="AQ298" s="316"/>
      <c r="AR298" s="326"/>
      <c r="AS298" s="316"/>
      <c r="AT298" s="316"/>
      <c r="AU298" s="1208"/>
      <c r="AV298" s="316"/>
      <c r="AW298" s="326"/>
      <c r="AX298" s="316"/>
      <c r="AY298" s="316"/>
      <c r="AZ298" s="1208"/>
      <c r="BA298" s="316"/>
      <c r="BB298" s="326"/>
      <c r="BC298" s="316"/>
      <c r="BD298" s="316"/>
      <c r="BE298" s="1208"/>
      <c r="BF298" s="316"/>
      <c r="BG298" s="326"/>
      <c r="BH298" s="942"/>
      <c r="BI298" s="927" t="str">
        <f ca="1" t="shared" si="817" ref="BI298:BO298">IFERROR(VLOOKUP($A298,tb_ConsensusEstimate,MATCH(BI$5,OFFSET(tb_ConsensusEstimate,0,0,1,COLUMNS(tb_ConsensusEstimate)),0),FALSE),"-")</f>
        <v>N/A</v>
      </c>
      <c r="BJ298" s="1209" t="str">
        <f t="shared" ca="1" si="817"/>
        <v>N/A</v>
      </c>
      <c r="BK298" s="927" t="str">
        <f t="shared" ca="1" si="817"/>
        <v>N/A</v>
      </c>
      <c r="BL298" s="927" t="str">
        <f t="shared" ca="1" si="817"/>
        <v>N/A</v>
      </c>
      <c r="BM298" s="927" t="str">
        <f t="shared" ca="1" si="817"/>
        <v>N/A</v>
      </c>
      <c r="BN298" s="927" t="str">
        <f t="shared" ca="1" si="817"/>
        <v>N/A</v>
      </c>
      <c r="BO298" s="1209" t="str">
        <f t="shared" ca="1" si="817"/>
        <v>N/A</v>
      </c>
      <c r="BP298" s="1210" t="str">
        <f ca="1">IFERROR(VLOOKUP($A298,tb_ConsensusEstimate,MATCH(BP5,OFFSET(tb_ConsensusEstimate,0,0,1,COLUMNS(tb_ConsensusEstimate)),0),FALSE),"-")</f>
        <v>N/A</v>
      </c>
      <c r="BQ298" s="1210" t="str">
        <f ca="1">IFERROR(VLOOKUP($A298,tb_ConsensusEstimate,MATCH(BQ5,OFFSET(tb_ConsensusEstimate,0,0,1,COLUMNS(tb_ConsensusEstimate)),0),FALSE),"-")</f>
        <v>N/A</v>
      </c>
      <c r="BR298" s="1209" t="str">
        <f ca="1">IFERROR(VLOOKUP($A298,tb_ConsensusEstimate,MATCH(BR5,OFFSET(tb_ConsensusEstimate,0,0,1,COLUMNS(tb_ConsensusEstimate)),0),FALSE),"-")</f>
        <v>N/A</v>
      </c>
      <c r="BS298" s="61"/>
    </row>
    <row r="299" spans="1:71" s="667" customFormat="1" ht="15">
      <c r="A299" s="954"/>
      <c r="B299" s="500"/>
      <c r="C299" s="1161"/>
      <c r="D299" s="1161"/>
      <c r="E299" s="1161"/>
      <c r="F299" s="1161"/>
      <c r="G299" s="1161"/>
      <c r="H299" s="971"/>
      <c r="I299" s="971"/>
      <c r="J299" s="971"/>
      <c r="K299" s="971"/>
      <c r="L299" s="1161"/>
      <c r="M299" s="971"/>
      <c r="N299" s="971"/>
      <c r="O299" s="971"/>
      <c r="P299" s="971"/>
      <c r="Q299" s="1161"/>
      <c r="R299" s="971"/>
      <c r="S299" s="971"/>
      <c r="T299" s="971"/>
      <c r="U299" s="971"/>
      <c r="V299" s="1161"/>
      <c r="W299" s="971"/>
      <c r="X299" s="971"/>
      <c r="Y299" s="971"/>
      <c r="Z299" s="971"/>
      <c r="AA299" s="1161"/>
      <c r="AB299" s="971"/>
      <c r="AC299" s="971"/>
      <c r="AD299" s="971"/>
      <c r="AE299" s="971"/>
      <c r="AF299" s="1161"/>
      <c r="AG299" s="971"/>
      <c r="AH299" s="971"/>
      <c r="AI299" s="971"/>
      <c r="AJ299" s="971"/>
      <c r="AK299" s="1161"/>
      <c r="AL299" s="971"/>
      <c r="AM299" s="971"/>
      <c r="AN299" s="971"/>
      <c r="AO299" s="971"/>
      <c r="AP299" s="1161"/>
      <c r="AQ299" s="971"/>
      <c r="AR299" s="971"/>
      <c r="AS299" s="971"/>
      <c r="AT299" s="971"/>
      <c r="AU299" s="1161"/>
      <c r="AV299" s="971"/>
      <c r="AW299" s="971"/>
      <c r="AX299" s="971"/>
      <c r="AY299" s="971"/>
      <c r="AZ299" s="1161"/>
      <c r="BA299" s="971"/>
      <c r="BB299" s="971"/>
      <c r="BC299" s="971"/>
      <c r="BD299" s="971"/>
      <c r="BE299" s="1161"/>
      <c r="BF299" s="971"/>
      <c r="BG299" s="971"/>
      <c r="BH299" s="972"/>
      <c r="BI299" s="973"/>
      <c r="BJ299" s="1162"/>
      <c r="BK299" s="973"/>
      <c r="BL299" s="973"/>
      <c r="BM299" s="973"/>
      <c r="BN299" s="973"/>
      <c r="BO299" s="1162"/>
      <c r="BP299" s="1161"/>
      <c r="BQ299" s="1161"/>
      <c r="BR299" s="1162"/>
      <c r="BS299" s="664"/>
    </row>
    <row r="300" spans="1:71" s="667" customFormat="1" ht="15">
      <c r="A300" s="954" t="s">
        <v>226</v>
      </c>
      <c r="B300" s="500"/>
      <c r="C300" s="1211">
        <v>115.70</v>
      </c>
      <c r="D300" s="1211">
        <v>109.20</v>
      </c>
      <c r="E300" s="1211">
        <v>101.30</v>
      </c>
      <c r="F300" s="1211">
        <v>94.20</v>
      </c>
      <c r="G300" s="1211">
        <v>89.30</v>
      </c>
      <c r="H300" s="1073">
        <v>89.60</v>
      </c>
      <c r="I300" s="1073">
        <v>89.60</v>
      </c>
      <c r="J300" s="1073">
        <v>89</v>
      </c>
      <c r="K300" s="971">
        <f>AVERAGE(J300,M300)</f>
        <v>88.30</v>
      </c>
      <c r="L300" s="1211">
        <v>89</v>
      </c>
      <c r="M300" s="1073">
        <v>87.60</v>
      </c>
      <c r="N300" s="1073">
        <v>87.70</v>
      </c>
      <c r="O300" s="1073">
        <v>87.50</v>
      </c>
      <c r="P300" s="971">
        <f>AVERAGE(O300,R300)</f>
        <v>87.20</v>
      </c>
      <c r="Q300" s="1211">
        <v>87.60</v>
      </c>
      <c r="R300" s="1073">
        <v>86.90</v>
      </c>
      <c r="S300" s="1073">
        <v>86.80</v>
      </c>
      <c r="T300" s="1073">
        <v>86.90</v>
      </c>
      <c r="U300" s="971">
        <f>AVERAGE(T300,W300)</f>
        <v>87.050000000000011</v>
      </c>
      <c r="V300" s="1211">
        <v>86.90</v>
      </c>
      <c r="W300" s="1073">
        <v>87.20</v>
      </c>
      <c r="X300" s="1073">
        <v>87.80</v>
      </c>
      <c r="Y300" s="1073">
        <v>88.10</v>
      </c>
      <c r="Z300" s="1073">
        <v>88.20</v>
      </c>
      <c r="AA300" s="1211">
        <v>87.80</v>
      </c>
      <c r="AB300" s="1073">
        <v>88.60</v>
      </c>
      <c r="AC300" s="1073">
        <v>89</v>
      </c>
      <c r="AD300" s="1073">
        <v>89.10</v>
      </c>
      <c r="AE300" s="1073">
        <v>89.30</v>
      </c>
      <c r="AF300" s="1211">
        <v>89</v>
      </c>
      <c r="AG300" s="1073">
        <v>89.40</v>
      </c>
      <c r="AH300" s="1073">
        <v>89.70</v>
      </c>
      <c r="AI300" s="1073">
        <v>90</v>
      </c>
      <c r="AJ300" s="1073">
        <v>90.20</v>
      </c>
      <c r="AK300" s="1211">
        <v>89.90</v>
      </c>
      <c r="AL300" s="1073">
        <v>90.30</v>
      </c>
      <c r="AM300" s="1073">
        <v>89.70</v>
      </c>
      <c r="AN300" s="1073">
        <v>88.20</v>
      </c>
      <c r="AO300" s="1073">
        <v>86.60</v>
      </c>
      <c r="AP300" s="1211">
        <v>88.70</v>
      </c>
      <c r="AQ300" s="1073">
        <v>85.90</v>
      </c>
      <c r="AR300" s="1073">
        <v>85</v>
      </c>
      <c r="AS300" s="1073">
        <v>84.80</v>
      </c>
      <c r="AT300" s="971">
        <f>AU300*4-AQ300-AR300-AS300</f>
        <v>84.699999999999974</v>
      </c>
      <c r="AU300" s="1211">
        <v>85.10</v>
      </c>
      <c r="AV300" s="1073">
        <v>85</v>
      </c>
      <c r="AW300" s="1073">
        <v>85.10</v>
      </c>
      <c r="AX300" s="1073">
        <v>85.20</v>
      </c>
      <c r="AY300" s="971">
        <f>AZ300*4-AV300-AW300-AX300</f>
        <v>85.09999999999998</v>
      </c>
      <c r="AZ300" s="1211">
        <v>85.10</v>
      </c>
      <c r="BA300" s="1073">
        <v>85.20</v>
      </c>
      <c r="BB300" s="1073">
        <v>85.10</v>
      </c>
      <c r="BC300" s="1073">
        <v>84.60</v>
      </c>
      <c r="BD300" s="983">
        <f>BE300*4-BA300-BB300-BC300</f>
        <v>83.900000000000034</v>
      </c>
      <c r="BE300" s="1211">
        <v>84.70</v>
      </c>
      <c r="BF300" s="1073">
        <v>83.70</v>
      </c>
      <c r="BG300" s="1073">
        <v>83.90</v>
      </c>
      <c r="BH300" s="1074">
        <v>83.90</v>
      </c>
      <c r="BI300" s="973">
        <f ca="1">AVERAGE(BH305,BI305)</f>
        <v>83.923445999999998</v>
      </c>
      <c r="BJ300" s="1162">
        <f ca="1">SUM(BF300*BF3,BG300*BG3,BH300*BH3,BI300*BI3)/BJ3</f>
        <v>83.856166754098354</v>
      </c>
      <c r="BK300" s="973">
        <f ca="1">AVERAGE(BJ305,BK305)</f>
        <v>83.923445999999998</v>
      </c>
      <c r="BL300" s="973">
        <f ca="1">AVERAGE(BK305,BL305)</f>
        <v>83.923445999999998</v>
      </c>
      <c r="BM300" s="973">
        <f ca="1">AVERAGE(BL305,BM305)</f>
        <v>83.923445999999998</v>
      </c>
      <c r="BN300" s="973">
        <f ca="1">AVERAGE(BM305,BN305)</f>
        <v>83.923445999999998</v>
      </c>
      <c r="BO300" s="1162">
        <f ca="1">SUM(BK300*BK3,BL300*BL3,BM300*BM3,BN300*BN3)/BO3</f>
        <v>83.923445999999998</v>
      </c>
      <c r="BP300" s="1161">
        <f ca="1">AVERAGE(BO305,BP305)</f>
        <v>83.923445999999998</v>
      </c>
      <c r="BQ300" s="1161">
        <f ca="1">AVERAGE(BP305,BQ305)</f>
        <v>83.923445999999998</v>
      </c>
      <c r="BR300" s="1162">
        <f ca="1">AVERAGE(BQ305,BR305)</f>
        <v>83.923445999999998</v>
      </c>
      <c r="BS300" s="664"/>
    </row>
    <row r="301" spans="1:71" s="667" customFormat="1" ht="15">
      <c r="A301" s="954" t="s">
        <v>227</v>
      </c>
      <c r="B301" s="500"/>
      <c r="C301" s="1211">
        <v>116.80</v>
      </c>
      <c r="D301" s="1211">
        <v>110.50</v>
      </c>
      <c r="E301" s="1211">
        <v>102.90000000000001</v>
      </c>
      <c r="F301" s="1211">
        <v>95.90</v>
      </c>
      <c r="G301" s="1211">
        <v>91.20</v>
      </c>
      <c r="H301" s="1073">
        <v>91.60</v>
      </c>
      <c r="I301" s="1073">
        <v>91.60</v>
      </c>
      <c r="J301" s="1073">
        <v>90.90</v>
      </c>
      <c r="K301" s="1073">
        <v>89.772000000000006</v>
      </c>
      <c r="L301" s="1211">
        <v>91</v>
      </c>
      <c r="M301" s="1073">
        <v>89.40</v>
      </c>
      <c r="N301" s="1073">
        <v>89.50</v>
      </c>
      <c r="O301" s="1073">
        <v>89.30</v>
      </c>
      <c r="P301" s="1073">
        <v>89.227999999999994</v>
      </c>
      <c r="Q301" s="1211">
        <v>89.40</v>
      </c>
      <c r="R301" s="1073">
        <v>88.50</v>
      </c>
      <c r="S301" s="1073">
        <v>88.40</v>
      </c>
      <c r="T301" s="1073">
        <v>88.50</v>
      </c>
      <c r="U301" s="1073">
        <v>88.774000000000001</v>
      </c>
      <c r="V301" s="1211">
        <v>88.50</v>
      </c>
      <c r="W301" s="1073">
        <v>89.30</v>
      </c>
      <c r="X301" s="1073">
        <v>89.80</v>
      </c>
      <c r="Y301" s="1073">
        <v>90</v>
      </c>
      <c r="Z301" s="1073">
        <v>90.10</v>
      </c>
      <c r="AA301" s="1211">
        <v>89.80</v>
      </c>
      <c r="AB301" s="1073">
        <v>90.40</v>
      </c>
      <c r="AC301" s="1073">
        <v>90.70</v>
      </c>
      <c r="AD301" s="1073">
        <v>90.730999999999995</v>
      </c>
      <c r="AE301" s="1073">
        <v>89.30</v>
      </c>
      <c r="AF301" s="1211">
        <v>90.60</v>
      </c>
      <c r="AG301" s="1073">
        <v>90.70</v>
      </c>
      <c r="AH301" s="1073">
        <v>91</v>
      </c>
      <c r="AI301" s="1073">
        <v>91.10</v>
      </c>
      <c r="AJ301" s="1073">
        <v>91.30</v>
      </c>
      <c r="AK301" s="1211">
        <v>91</v>
      </c>
      <c r="AL301" s="1073">
        <v>90.30</v>
      </c>
      <c r="AM301" s="1073">
        <v>90</v>
      </c>
      <c r="AN301" s="1073">
        <v>88.50</v>
      </c>
      <c r="AO301" s="1073">
        <v>87.20</v>
      </c>
      <c r="AP301" s="1211">
        <v>89.20</v>
      </c>
      <c r="AQ301" s="1073">
        <v>86.60</v>
      </c>
      <c r="AR301" s="1073">
        <v>85.617999999999995</v>
      </c>
      <c r="AS301" s="1073">
        <v>85.20</v>
      </c>
      <c r="AT301" s="1073">
        <v>85.20</v>
      </c>
      <c r="AU301" s="1211">
        <v>85.60</v>
      </c>
      <c r="AV301" s="1073">
        <v>85.20</v>
      </c>
      <c r="AW301" s="1073">
        <v>85.30</v>
      </c>
      <c r="AX301" s="1073">
        <v>85.40</v>
      </c>
      <c r="AY301" s="1073">
        <v>85.30</v>
      </c>
      <c r="AZ301" s="1211">
        <v>85.30</v>
      </c>
      <c r="BA301" s="1073">
        <v>85.378</v>
      </c>
      <c r="BB301" s="1073">
        <v>85.20</v>
      </c>
      <c r="BC301" s="1073">
        <v>84.70</v>
      </c>
      <c r="BD301" s="1073">
        <v>83.80</v>
      </c>
      <c r="BE301" s="1211">
        <v>84.80</v>
      </c>
      <c r="BF301" s="1073">
        <v>83.80</v>
      </c>
      <c r="BG301" s="1073">
        <v>83.90</v>
      </c>
      <c r="BH301" s="1074">
        <v>83.90</v>
      </c>
      <c r="BI301" s="973">
        <f ca="1">IF(BI287&lt;0,BI300,AVERAGE(BH319,BI319))</f>
        <v>83.965407722999998</v>
      </c>
      <c r="BJ301" s="1162">
        <f ca="1">IF(BJ287&lt;0,BJ300,SUM(AVERAGE(BE319,BF319)*BF3,AVERAGE(BF319,BG319)*BG3,AVERAGE(BG319,BH319)*BH3,AVERAGE(BH319,BI319)*BI3)/BJ3)</f>
        <v>83.887689588841539</v>
      </c>
      <c r="BK301" s="973">
        <f ca="1">IF(BK287&lt;0,BK300,AVERAGE(BJ319,BK319))</f>
        <v>84.007369445999984</v>
      </c>
      <c r="BL301" s="973">
        <f ca="1">IF(BL287&lt;0,BL300,AVERAGE(BK319,BL319))</f>
        <v>84.007369445999984</v>
      </c>
      <c r="BM301" s="973">
        <f ca="1">IF(BM287&lt;0,BM300,AVERAGE(BL319,BM319))</f>
        <v>84.007369445999984</v>
      </c>
      <c r="BN301" s="973">
        <f ca="1">IF(BN287&lt;0,BN300,AVERAGE(BM319,BN319))</f>
        <v>84.007369445999984</v>
      </c>
      <c r="BO301" s="1162">
        <f ca="1">IF(BO287&lt;0,BO300,SUM(AVERAGE(BJ319,BK319)*BK3,AVERAGE(BK319,BL319)*BL3,AVERAGE(BL319,BM319)*BM3,AVERAGE(BM319,BN319)*BN3)/BO3)</f>
        <v>84.007369445999984</v>
      </c>
      <c r="BP301" s="1161">
        <f ca="1">IF(BP287&lt;0,BP300,AVERAGE(BO319,BP319))</f>
        <v>84.007369445999984</v>
      </c>
      <c r="BQ301" s="1161">
        <f ca="1">IF(BQ287&lt;0,BQ300,AVERAGE(BP319,BQ319))</f>
        <v>84.007369445999984</v>
      </c>
      <c r="BR301" s="1162">
        <f ca="1">IF(BR287&lt;0,BR300,AVERAGE(BQ319,BR319))</f>
        <v>84.007369445999984</v>
      </c>
      <c r="BS301" s="664"/>
    </row>
    <row r="302" spans="1:71" s="667" customFormat="1" ht="15">
      <c r="A302" s="664" t="s">
        <v>228</v>
      </c>
      <c r="B302" s="500"/>
      <c r="C302" s="1212">
        <f t="shared" si="818" ref="C302:AK302">C301</f>
        <v>116.80</v>
      </c>
      <c r="D302" s="1212">
        <f t="shared" si="818"/>
        <v>110.50</v>
      </c>
      <c r="E302" s="1212">
        <f t="shared" si="818"/>
        <v>102.90000000000001</v>
      </c>
      <c r="F302" s="1212">
        <f t="shared" si="818"/>
        <v>95.90</v>
      </c>
      <c r="G302" s="1212">
        <f t="shared" si="818"/>
        <v>91.20</v>
      </c>
      <c r="H302" s="983">
        <f t="shared" si="818"/>
        <v>91.60</v>
      </c>
      <c r="I302" s="983">
        <f t="shared" si="818"/>
        <v>91.60</v>
      </c>
      <c r="J302" s="983">
        <f t="shared" si="818"/>
        <v>90.90</v>
      </c>
      <c r="K302" s="983">
        <f t="shared" si="818"/>
        <v>89.772000000000006</v>
      </c>
      <c r="L302" s="1212">
        <f t="shared" si="818"/>
        <v>91</v>
      </c>
      <c r="M302" s="983">
        <f t="shared" si="818"/>
        <v>89.40</v>
      </c>
      <c r="N302" s="983">
        <f t="shared" si="818"/>
        <v>89.50</v>
      </c>
      <c r="O302" s="983">
        <f t="shared" si="818"/>
        <v>89.30</v>
      </c>
      <c r="P302" s="983">
        <f t="shared" si="818"/>
        <v>89.227999999999994</v>
      </c>
      <c r="Q302" s="1212">
        <f t="shared" si="818"/>
        <v>89.40</v>
      </c>
      <c r="R302" s="983">
        <f t="shared" si="818"/>
        <v>88.50</v>
      </c>
      <c r="S302" s="983">
        <f t="shared" si="818"/>
        <v>88.40</v>
      </c>
      <c r="T302" s="983">
        <f t="shared" si="818"/>
        <v>88.50</v>
      </c>
      <c r="U302" s="983">
        <f t="shared" si="818"/>
        <v>88.774000000000001</v>
      </c>
      <c r="V302" s="1212">
        <f t="shared" si="818"/>
        <v>88.50</v>
      </c>
      <c r="W302" s="983">
        <f t="shared" si="818"/>
        <v>89.30</v>
      </c>
      <c r="X302" s="983">
        <f t="shared" si="818"/>
        <v>89.80</v>
      </c>
      <c r="Y302" s="983">
        <f t="shared" si="818"/>
        <v>90</v>
      </c>
      <c r="Z302" s="983">
        <f t="shared" si="818"/>
        <v>90.10</v>
      </c>
      <c r="AA302" s="1212">
        <f t="shared" si="818"/>
        <v>89.80</v>
      </c>
      <c r="AB302" s="983">
        <f t="shared" si="818"/>
        <v>90.40</v>
      </c>
      <c r="AC302" s="983">
        <f t="shared" si="818"/>
        <v>90.70</v>
      </c>
      <c r="AD302" s="983">
        <f t="shared" si="818"/>
        <v>90.730999999999995</v>
      </c>
      <c r="AE302" s="983">
        <f t="shared" si="818"/>
        <v>89.30</v>
      </c>
      <c r="AF302" s="1212">
        <f t="shared" si="818"/>
        <v>90.60</v>
      </c>
      <c r="AG302" s="983">
        <f t="shared" si="818"/>
        <v>90.70</v>
      </c>
      <c r="AH302" s="983">
        <f t="shared" si="818"/>
        <v>91</v>
      </c>
      <c r="AI302" s="983">
        <f t="shared" si="818"/>
        <v>91.10</v>
      </c>
      <c r="AJ302" s="983">
        <f t="shared" si="818"/>
        <v>91.30</v>
      </c>
      <c r="AK302" s="1212">
        <f t="shared" si="818"/>
        <v>91</v>
      </c>
      <c r="AL302" s="983">
        <f t="shared" si="819" ref="AL302:AU302">AL301</f>
        <v>90.30</v>
      </c>
      <c r="AM302" s="983">
        <f t="shared" si="819"/>
        <v>90</v>
      </c>
      <c r="AN302" s="983">
        <f t="shared" si="819"/>
        <v>88.50</v>
      </c>
      <c r="AO302" s="983">
        <f t="shared" si="819"/>
        <v>87.20</v>
      </c>
      <c r="AP302" s="1212">
        <f t="shared" si="819"/>
        <v>89.20</v>
      </c>
      <c r="AQ302" s="983">
        <f t="shared" si="819"/>
        <v>86.60</v>
      </c>
      <c r="AR302" s="983">
        <f t="shared" si="819"/>
        <v>85.617999999999995</v>
      </c>
      <c r="AS302" s="983">
        <f t="shared" si="819"/>
        <v>85.20</v>
      </c>
      <c r="AT302" s="983">
        <f t="shared" si="819"/>
        <v>85.20</v>
      </c>
      <c r="AU302" s="1212">
        <f t="shared" si="819"/>
        <v>85.60</v>
      </c>
      <c r="AV302" s="983">
        <f t="shared" si="820" ref="AV302:AZ302">AV301</f>
        <v>85.20</v>
      </c>
      <c r="AW302" s="983">
        <f t="shared" si="820"/>
        <v>85.30</v>
      </c>
      <c r="AX302" s="983">
        <f t="shared" si="820"/>
        <v>85.40</v>
      </c>
      <c r="AY302" s="983">
        <f t="shared" si="820"/>
        <v>85.30</v>
      </c>
      <c r="AZ302" s="1212">
        <f t="shared" si="820"/>
        <v>85.30</v>
      </c>
      <c r="BA302" s="983">
        <f t="shared" si="821" ref="BA302:BF302">BA301</f>
        <v>85.378</v>
      </c>
      <c r="BB302" s="983">
        <f t="shared" si="821"/>
        <v>85.20</v>
      </c>
      <c r="BC302" s="983">
        <f t="shared" si="821"/>
        <v>84.70</v>
      </c>
      <c r="BD302" s="983">
        <f t="shared" si="821"/>
        <v>83.80</v>
      </c>
      <c r="BE302" s="1212">
        <f t="shared" si="821"/>
        <v>84.80</v>
      </c>
      <c r="BF302" s="983">
        <f t="shared" si="821"/>
        <v>83.80</v>
      </c>
      <c r="BG302" s="983">
        <f>BG301</f>
        <v>83.90</v>
      </c>
      <c r="BH302" s="985">
        <f>BH301</f>
        <v>83.90</v>
      </c>
      <c r="BI302" s="973">
        <f ca="1">IF(BI290&lt;0,BI300,AVERAGE(BH319,BI319))</f>
        <v>83.965407722999998</v>
      </c>
      <c r="BJ302" s="1162">
        <f ca="1">IF(BJ290&lt;0,BJ300,SUM(AVERAGE(BE319,BF319)*BF3,AVERAGE(BF319,BG319)*BG3,AVERAGE(BG319,BH319)*BH3,AVERAGE(BH319,BI319)*BI3)/BJ3)</f>
        <v>83.887689588841539</v>
      </c>
      <c r="BK302" s="973">
        <f ca="1">IF(BK290&lt;0,BK300,AVERAGE(BJ319,BK319))</f>
        <v>84.007369445999984</v>
      </c>
      <c r="BL302" s="973">
        <f ca="1">IF(BL290&lt;0,BL300,AVERAGE(BK319,BL319))</f>
        <v>84.007369445999984</v>
      </c>
      <c r="BM302" s="973">
        <f ca="1">IF(BM290&lt;0,BM300,AVERAGE(BL319,BM319))</f>
        <v>84.007369445999984</v>
      </c>
      <c r="BN302" s="973">
        <f ca="1">IF(BN290&lt;0,BN300,AVERAGE(BM319,BN319))</f>
        <v>84.007369445999984</v>
      </c>
      <c r="BO302" s="1162">
        <f ca="1">IF(BO290&lt;0,BO300,SUM(AVERAGE(BJ319,BK319)*BK3,AVERAGE(BK319,BL319)*BL3,AVERAGE(BL319,BM319)*BM3,AVERAGE(BM319,BN319)*BN3)/BO3)</f>
        <v>84.007369445999984</v>
      </c>
      <c r="BP302" s="1161">
        <f ca="1">IF(BP290&lt;0,BP300,AVERAGE(BO319,BP319))</f>
        <v>84.007369445999984</v>
      </c>
      <c r="BQ302" s="1161">
        <f ca="1">IF(BQ290&lt;0,BQ300,AVERAGE(BP319,BQ319))</f>
        <v>84.007369445999984</v>
      </c>
      <c r="BR302" s="1162">
        <f ca="1">IF(BR290&lt;0,BR300,AVERAGE(BQ319,BR319))</f>
        <v>84.007369445999984</v>
      </c>
      <c r="BS302" s="664"/>
    </row>
    <row r="303" spans="1:71" s="667" customFormat="1" ht="15">
      <c r="A303" s="491"/>
      <c r="B303" s="500"/>
      <c r="C303" s="1161"/>
      <c r="D303" s="1161"/>
      <c r="E303" s="1161"/>
      <c r="F303" s="1161"/>
      <c r="G303" s="1161"/>
      <c r="H303" s="971"/>
      <c r="I303" s="971"/>
      <c r="J303" s="971"/>
      <c r="K303" s="971"/>
      <c r="L303" s="1161"/>
      <c r="M303" s="971"/>
      <c r="N303" s="971"/>
      <c r="O303" s="971"/>
      <c r="P303" s="971"/>
      <c r="Q303" s="1161"/>
      <c r="R303" s="971"/>
      <c r="S303" s="971"/>
      <c r="T303" s="971"/>
      <c r="U303" s="971"/>
      <c r="V303" s="1161"/>
      <c r="W303" s="971"/>
      <c r="X303" s="971"/>
      <c r="Y303" s="971"/>
      <c r="Z303" s="971"/>
      <c r="AA303" s="1161"/>
      <c r="AB303" s="971"/>
      <c r="AC303" s="971"/>
      <c r="AD303" s="971"/>
      <c r="AE303" s="971"/>
      <c r="AF303" s="1161"/>
      <c r="AG303" s="971"/>
      <c r="AH303" s="971"/>
      <c r="AI303" s="971"/>
      <c r="AJ303" s="971"/>
      <c r="AK303" s="1161"/>
      <c r="AL303" s="971"/>
      <c r="AM303" s="971"/>
      <c r="AN303" s="971"/>
      <c r="AO303" s="971"/>
      <c r="AP303" s="1161"/>
      <c r="AQ303" s="971"/>
      <c r="AR303" s="971"/>
      <c r="AS303" s="971"/>
      <c r="AT303" s="971"/>
      <c r="AU303" s="1161"/>
      <c r="AV303" s="971"/>
      <c r="AW303" s="971"/>
      <c r="AX303" s="971"/>
      <c r="AY303" s="971"/>
      <c r="AZ303" s="1161"/>
      <c r="BA303" s="971"/>
      <c r="BB303" s="971"/>
      <c r="BC303" s="971"/>
      <c r="BD303" s="971"/>
      <c r="BE303" s="1161"/>
      <c r="BF303" s="971"/>
      <c r="BG303" s="971"/>
      <c r="BH303" s="972"/>
      <c r="BI303" s="973"/>
      <c r="BJ303" s="1162"/>
      <c r="BK303" s="973"/>
      <c r="BL303" s="973"/>
      <c r="BM303" s="973"/>
      <c r="BN303" s="973"/>
      <c r="BO303" s="1162"/>
      <c r="BP303" s="1161"/>
      <c r="BQ303" s="1161"/>
      <c r="BR303" s="1162"/>
      <c r="BS303" s="664"/>
    </row>
    <row r="304" spans="1:71" s="667" customFormat="1" ht="15">
      <c r="A304" s="651" t="s">
        <v>570</v>
      </c>
      <c r="B304" s="652"/>
      <c r="C304" s="280"/>
      <c r="D304" s="280"/>
      <c r="E304" s="280"/>
      <c r="F304" s="280"/>
      <c r="G304" s="280"/>
      <c r="H304" s="280"/>
      <c r="I304" s="280"/>
      <c r="J304" s="280"/>
      <c r="K304" s="280"/>
      <c r="L304" s="280"/>
      <c r="M304" s="280"/>
      <c r="N304" s="280"/>
      <c r="O304" s="280"/>
      <c r="P304" s="280"/>
      <c r="Q304" s="280"/>
      <c r="R304" s="280"/>
      <c r="S304" s="280"/>
      <c r="T304" s="280"/>
      <c r="U304" s="280"/>
      <c r="V304" s="280"/>
      <c r="W304" s="280"/>
      <c r="X304" s="280"/>
      <c r="Y304" s="280"/>
      <c r="Z304" s="280"/>
      <c r="AA304" s="280"/>
      <c r="AB304" s="280"/>
      <c r="AC304" s="280"/>
      <c r="AD304" s="280"/>
      <c r="AE304" s="280"/>
      <c r="AF304" s="280"/>
      <c r="AG304" s="280"/>
      <c r="AH304" s="280"/>
      <c r="AI304" s="280"/>
      <c r="AJ304" s="280"/>
      <c r="AK304" s="280"/>
      <c r="AL304" s="280"/>
      <c r="AM304" s="280"/>
      <c r="AN304" s="280"/>
      <c r="AO304" s="280"/>
      <c r="AP304" s="280"/>
      <c r="AQ304" s="280"/>
      <c r="AR304" s="280"/>
      <c r="AS304" s="280"/>
      <c r="AT304" s="280"/>
      <c r="AU304" s="280"/>
      <c r="AV304" s="280"/>
      <c r="AW304" s="280"/>
      <c r="AX304" s="280"/>
      <c r="AY304" s="280"/>
      <c r="AZ304" s="280"/>
      <c r="BA304" s="280"/>
      <c r="BB304" s="280"/>
      <c r="BC304" s="280"/>
      <c r="BD304" s="280"/>
      <c r="BE304" s="280"/>
      <c r="BF304" s="280"/>
      <c r="BG304" s="280"/>
      <c r="BH304" s="380"/>
      <c r="BI304" s="434"/>
      <c r="BJ304" s="434"/>
      <c r="BK304" s="434"/>
      <c r="BL304" s="434"/>
      <c r="BM304" s="434"/>
      <c r="BN304" s="434"/>
      <c r="BO304" s="434"/>
      <c r="BP304" s="280"/>
      <c r="BQ304" s="280"/>
      <c r="BR304" s="434"/>
      <c r="BS304" s="664"/>
    </row>
    <row r="305" spans="1:71" s="667" customFormat="1" ht="15" customHeight="1" hidden="1" outlineLevel="1">
      <c r="A305" s="664" t="s">
        <v>598</v>
      </c>
      <c r="B305" s="500"/>
      <c r="C305" s="1211">
        <v>113.386343</v>
      </c>
      <c r="D305" s="1211">
        <v>105.16836600000001</v>
      </c>
      <c r="E305" s="1211">
        <v>97.846401999999998</v>
      </c>
      <c r="F305" s="1211">
        <v>88.979303000000002</v>
      </c>
      <c r="G305" s="1211">
        <v>89.513385999999997</v>
      </c>
      <c r="H305" s="1073">
        <v>89.588999000000001</v>
      </c>
      <c r="I305" s="1073">
        <v>89.618433999999993</v>
      </c>
      <c r="J305" s="1073">
        <v>88.490966999999998</v>
      </c>
      <c r="K305" s="1073">
        <v>87.708793</v>
      </c>
      <c r="L305" s="1211">
        <v>87.708793</v>
      </c>
      <c r="M305" s="1073">
        <v>87.885715000000005</v>
      </c>
      <c r="N305" s="1073">
        <v>87.540412000000003</v>
      </c>
      <c r="O305" s="1073">
        <v>87.327172000000004</v>
      </c>
      <c r="P305" s="1073">
        <v>87.474451999999999</v>
      </c>
      <c r="Q305" s="1211">
        <v>87.474451999999999</v>
      </c>
      <c r="R305" s="1073">
        <v>86.966290000000001</v>
      </c>
      <c r="S305" s="1073">
        <v>86.850459000000001</v>
      </c>
      <c r="T305" s="1073">
        <v>86.812651000000002</v>
      </c>
      <c r="U305" s="1073">
        <v>86.924398999999994</v>
      </c>
      <c r="V305" s="1211">
        <v>86.924398999999994</v>
      </c>
      <c r="W305" s="1073">
        <v>87.591671000000005</v>
      </c>
      <c r="X305" s="1073">
        <v>88.007251999999994</v>
      </c>
      <c r="Y305" s="1073">
        <v>88.092793999999998</v>
      </c>
      <c r="Z305" s="983">
        <f>AA305</f>
        <v>88.275459999999995</v>
      </c>
      <c r="AA305" s="1211">
        <v>88.275459999999995</v>
      </c>
      <c r="AB305" s="1073">
        <v>88.881213000000002</v>
      </c>
      <c r="AC305" s="1073">
        <v>89.072113999999999</v>
      </c>
      <c r="AD305" s="1073">
        <v>89.188708000000005</v>
      </c>
      <c r="AE305" s="983">
        <f>AF305</f>
        <v>89.291724000000002</v>
      </c>
      <c r="AF305" s="1211">
        <v>89.291724000000002</v>
      </c>
      <c r="AG305" s="1073">
        <v>89.637713000000005</v>
      </c>
      <c r="AH305" s="1073">
        <v>89.917601000000005</v>
      </c>
      <c r="AI305" s="1073">
        <v>90.127422999999993</v>
      </c>
      <c r="AJ305" s="983">
        <f>AK305</f>
        <v>90.303685999999999</v>
      </c>
      <c r="AK305" s="1211">
        <v>90.303685999999999</v>
      </c>
      <c r="AL305" s="1073">
        <v>89.827336000000003</v>
      </c>
      <c r="AM305" s="1073">
        <v>88.659407000000002</v>
      </c>
      <c r="AN305" s="1073">
        <v>87.266582</v>
      </c>
      <c r="AO305" s="983">
        <f>AP305</f>
        <v>86.345246000000003</v>
      </c>
      <c r="AP305" s="1211">
        <v>86.345246000000003</v>
      </c>
      <c r="AQ305" s="1073">
        <v>85.126062000000005</v>
      </c>
      <c r="AR305" s="1073">
        <v>84.713999999999999</v>
      </c>
      <c r="AS305" s="1073">
        <v>84.795</v>
      </c>
      <c r="AT305" s="983">
        <f>AU305</f>
        <v>84.921000000000006</v>
      </c>
      <c r="AU305" s="1211">
        <v>84.921000000000006</v>
      </c>
      <c r="AV305" s="1073">
        <v>85.102829</v>
      </c>
      <c r="AW305" s="1073">
        <v>85.154263</v>
      </c>
      <c r="AX305" s="1073">
        <v>85.140521000000007</v>
      </c>
      <c r="AY305" s="1073">
        <v>85.20</v>
      </c>
      <c r="AZ305" s="1211">
        <v>85.204006000000007</v>
      </c>
      <c r="BA305" s="1073">
        <v>85.171999999999997</v>
      </c>
      <c r="BB305" s="1073">
        <v>84.858999999999995</v>
      </c>
      <c r="BC305" s="1073">
        <v>84.135710000000003</v>
      </c>
      <c r="BD305" s="971">
        <f>BE305</f>
        <v>83.635807</v>
      </c>
      <c r="BE305" s="1211">
        <v>83.635807</v>
      </c>
      <c r="BF305" s="1073">
        <v>83.857354000000001</v>
      </c>
      <c r="BG305" s="1073">
        <v>83.897266999999999</v>
      </c>
      <c r="BH305" s="1074">
        <v>83.923445999999998</v>
      </c>
      <c r="BI305" s="973">
        <f ca="1">BH305*(1+BI306)+BI362/(BI363/BI387)</f>
        <v>83.923445999999998</v>
      </c>
      <c r="BJ305" s="1162">
        <f ca="1">BI305</f>
        <v>83.923445999999998</v>
      </c>
      <c r="BK305" s="973">
        <f ca="1">BJ305*(1+BK306)+BK362/(BK363/BK387)</f>
        <v>83.923445999999998</v>
      </c>
      <c r="BL305" s="973">
        <f ca="1">BK305*(1+BL306)+BL362/(BL363/BL387)</f>
        <v>83.923445999999998</v>
      </c>
      <c r="BM305" s="973">
        <f ca="1">BL305*(1+BM306)+BM362/(BM363/BM387)</f>
        <v>83.923445999999998</v>
      </c>
      <c r="BN305" s="973">
        <f ca="1">BM305*(1+BN306)+BN362/(BN363/BN387)</f>
        <v>83.923445999999998</v>
      </c>
      <c r="BO305" s="1162">
        <f ca="1">BN305</f>
        <v>83.923445999999998</v>
      </c>
      <c r="BP305" s="1161">
        <f ca="1">BO305*(1+BP307)+BP362/(BP363/BP387)</f>
        <v>83.923445999999998</v>
      </c>
      <c r="BQ305" s="1161">
        <f ca="1">BP305*(1+BQ307)+BQ362/(BQ363/BQ387)</f>
        <v>83.923445999999998</v>
      </c>
      <c r="BR305" s="1162">
        <f ca="1">BQ305*(1+BR307)+BR362/(BR363/BR387)</f>
        <v>83.923445999999998</v>
      </c>
      <c r="BS305" s="664"/>
    </row>
    <row r="306" spans="1:71" s="667" customFormat="1" ht="15" customHeight="1" hidden="1" outlineLevel="1">
      <c r="A306" s="782" t="s">
        <v>590</v>
      </c>
      <c r="B306" s="783"/>
      <c r="C306" s="1177"/>
      <c r="D306" s="1177"/>
      <c r="E306" s="1177"/>
      <c r="F306" s="1177"/>
      <c r="G306" s="1177"/>
      <c r="H306" s="786"/>
      <c r="I306" s="786"/>
      <c r="J306" s="786"/>
      <c r="K306" s="786"/>
      <c r="L306" s="1177"/>
      <c r="M306" s="786"/>
      <c r="N306" s="786"/>
      <c r="O306" s="786"/>
      <c r="P306" s="786"/>
      <c r="Q306" s="1177"/>
      <c r="R306" s="786"/>
      <c r="S306" s="786"/>
      <c r="T306" s="786"/>
      <c r="U306" s="786"/>
      <c r="V306" s="1177"/>
      <c r="W306" s="786"/>
      <c r="X306" s="786"/>
      <c r="Y306" s="786"/>
      <c r="Z306" s="786"/>
      <c r="AA306" s="1177"/>
      <c r="AB306" s="786"/>
      <c r="AC306" s="786"/>
      <c r="AD306" s="786"/>
      <c r="AE306" s="786"/>
      <c r="AF306" s="1177"/>
      <c r="AG306" s="786"/>
      <c r="AH306" s="786"/>
      <c r="AI306" s="786"/>
      <c r="AJ306" s="786"/>
      <c r="AK306" s="1177"/>
      <c r="AL306" s="786"/>
      <c r="AM306" s="786"/>
      <c r="AN306" s="786"/>
      <c r="AO306" s="786"/>
      <c r="AP306" s="1177"/>
      <c r="AQ306" s="786"/>
      <c r="AR306" s="786"/>
      <c r="AS306" s="786"/>
      <c r="AT306" s="786"/>
      <c r="AU306" s="1177"/>
      <c r="AV306" s="786"/>
      <c r="AW306" s="786"/>
      <c r="AX306" s="786"/>
      <c r="AY306" s="786"/>
      <c r="AZ306" s="1177"/>
      <c r="BA306" s="786"/>
      <c r="BB306" s="786"/>
      <c r="BC306" s="786"/>
      <c r="BD306" s="786"/>
      <c r="BE306" s="1177"/>
      <c r="BF306" s="786"/>
      <c r="BG306" s="786"/>
      <c r="BH306" s="887"/>
      <c r="BI306" s="1075">
        <v>0</v>
      </c>
      <c r="BJ306" s="1177"/>
      <c r="BK306" s="1075">
        <v>0</v>
      </c>
      <c r="BL306" s="1075">
        <v>0</v>
      </c>
      <c r="BM306" s="1075">
        <v>0</v>
      </c>
      <c r="BN306" s="1075">
        <v>0</v>
      </c>
      <c r="BO306" s="1177"/>
      <c r="BP306" s="1177"/>
      <c r="BQ306" s="1177"/>
      <c r="BR306" s="1177"/>
      <c r="BS306" s="664"/>
    </row>
    <row r="307" spans="1:71" s="667" customFormat="1" ht="15" customHeight="1" hidden="1" outlineLevel="1">
      <c r="A307" s="782" t="s">
        <v>591</v>
      </c>
      <c r="B307" s="783"/>
      <c r="C307" s="1177"/>
      <c r="D307" s="1177"/>
      <c r="E307" s="1177"/>
      <c r="F307" s="1177"/>
      <c r="G307" s="1177"/>
      <c r="H307" s="786"/>
      <c r="I307" s="786"/>
      <c r="J307" s="786"/>
      <c r="K307" s="786"/>
      <c r="L307" s="1177"/>
      <c r="M307" s="786"/>
      <c r="N307" s="786"/>
      <c r="O307" s="786"/>
      <c r="P307" s="786"/>
      <c r="Q307" s="1177"/>
      <c r="R307" s="786"/>
      <c r="S307" s="786"/>
      <c r="T307" s="786"/>
      <c r="U307" s="786"/>
      <c r="V307" s="1177"/>
      <c r="W307" s="786"/>
      <c r="X307" s="786"/>
      <c r="Y307" s="786"/>
      <c r="Z307" s="786"/>
      <c r="AA307" s="1177"/>
      <c r="AB307" s="786"/>
      <c r="AC307" s="786"/>
      <c r="AD307" s="786"/>
      <c r="AE307" s="786"/>
      <c r="AF307" s="1177"/>
      <c r="AG307" s="786"/>
      <c r="AH307" s="786"/>
      <c r="AI307" s="786"/>
      <c r="AJ307" s="786"/>
      <c r="AK307" s="1177"/>
      <c r="AL307" s="786"/>
      <c r="AM307" s="786"/>
      <c r="AN307" s="786"/>
      <c r="AO307" s="786"/>
      <c r="AP307" s="1177"/>
      <c r="AQ307" s="786"/>
      <c r="AR307" s="786"/>
      <c r="AS307" s="786"/>
      <c r="AT307" s="786"/>
      <c r="AU307" s="1177"/>
      <c r="AV307" s="786"/>
      <c r="AW307" s="786"/>
      <c r="AX307" s="786"/>
      <c r="AY307" s="786"/>
      <c r="AZ307" s="1177"/>
      <c r="BA307" s="786"/>
      <c r="BB307" s="786"/>
      <c r="BC307" s="786"/>
      <c r="BD307" s="786"/>
      <c r="BE307" s="1177"/>
      <c r="BF307" s="786"/>
      <c r="BG307" s="786"/>
      <c r="BH307" s="887"/>
      <c r="BI307" s="786"/>
      <c r="BJ307" s="1177"/>
      <c r="BK307" s="786"/>
      <c r="BL307" s="786"/>
      <c r="BM307" s="786"/>
      <c r="BN307" s="786"/>
      <c r="BO307" s="1177"/>
      <c r="BP307" s="1185">
        <v>0</v>
      </c>
      <c r="BQ307" s="1185">
        <v>0</v>
      </c>
      <c r="BR307" s="1185">
        <v>0</v>
      </c>
      <c r="BS307" s="664"/>
    </row>
    <row r="308" spans="1:71" s="667" customFormat="1" ht="15" customHeight="1" hidden="1" outlineLevel="2">
      <c r="A308" s="782" t="s">
        <v>592</v>
      </c>
      <c r="B308" s="783"/>
      <c r="C308" s="1177"/>
      <c r="D308" s="1177"/>
      <c r="E308" s="1177"/>
      <c r="F308" s="1177"/>
      <c r="G308" s="1177"/>
      <c r="H308" s="786"/>
      <c r="I308" s="786"/>
      <c r="J308" s="786"/>
      <c r="K308" s="786"/>
      <c r="L308" s="1177"/>
      <c r="M308" s="786"/>
      <c r="N308" s="786"/>
      <c r="O308" s="786"/>
      <c r="P308" s="786"/>
      <c r="Q308" s="1177"/>
      <c r="R308" s="786"/>
      <c r="S308" s="786"/>
      <c r="T308" s="786"/>
      <c r="U308" s="786"/>
      <c r="V308" s="1177"/>
      <c r="W308" s="786"/>
      <c r="X308" s="786"/>
      <c r="Y308" s="786"/>
      <c r="Z308" s="786"/>
      <c r="AA308" s="1177"/>
      <c r="AB308" s="786"/>
      <c r="AC308" s="786"/>
      <c r="AD308" s="786"/>
      <c r="AE308" s="786"/>
      <c r="AF308" s="1177"/>
      <c r="AG308" s="786"/>
      <c r="AH308" s="786"/>
      <c r="AI308" s="786"/>
      <c r="AJ308" s="786"/>
      <c r="AK308" s="1177"/>
      <c r="AL308" s="786"/>
      <c r="AM308" s="786"/>
      <c r="AN308" s="786"/>
      <c r="AO308" s="786"/>
      <c r="AP308" s="1177"/>
      <c r="AQ308" s="786"/>
      <c r="AR308" s="786"/>
      <c r="AS308" s="786"/>
      <c r="AT308" s="786"/>
      <c r="AU308" s="1177"/>
      <c r="AV308" s="786"/>
      <c r="AW308" s="786"/>
      <c r="AX308" s="786"/>
      <c r="AY308" s="786"/>
      <c r="AZ308" s="1177"/>
      <c r="BA308" s="786"/>
      <c r="BB308" s="786"/>
      <c r="BC308" s="786"/>
      <c r="BD308" s="786"/>
      <c r="BE308" s="1177"/>
      <c r="BF308" s="786"/>
      <c r="BG308" s="786"/>
      <c r="BH308" s="887"/>
      <c r="BI308" s="786">
        <f ca="1">BI362/(BI363/BI387)/BH305</f>
        <v>0</v>
      </c>
      <c r="BJ308" s="1177"/>
      <c r="BK308" s="786">
        <f ca="1">BK362/(BK363/BK387)/BI305</f>
        <v>0</v>
      </c>
      <c r="BL308" s="786">
        <f ca="1">BL362/(BL363/BL387)/BK305</f>
        <v>0</v>
      </c>
      <c r="BM308" s="786">
        <f ca="1">BM362/(BM363/BM387)/BL305</f>
        <v>0</v>
      </c>
      <c r="BN308" s="786">
        <f ca="1">BN362/(BN363/BN387)/BM305</f>
        <v>0</v>
      </c>
      <c r="BO308" s="1177"/>
      <c r="BP308" s="1177"/>
      <c r="BQ308" s="1177"/>
      <c r="BR308" s="1177"/>
      <c r="BS308" s="664"/>
    </row>
    <row r="309" spans="1:71" s="667" customFormat="1" ht="15" customHeight="1" hidden="1" outlineLevel="2">
      <c r="A309" s="790" t="s">
        <v>593</v>
      </c>
      <c r="B309" s="791"/>
      <c r="C309" s="1213"/>
      <c r="D309" s="1213"/>
      <c r="E309" s="1213"/>
      <c r="F309" s="1213"/>
      <c r="G309" s="1213"/>
      <c r="H309" s="792"/>
      <c r="I309" s="792"/>
      <c r="J309" s="792"/>
      <c r="K309" s="792"/>
      <c r="L309" s="1213"/>
      <c r="M309" s="792"/>
      <c r="N309" s="792"/>
      <c r="O309" s="792"/>
      <c r="P309" s="792"/>
      <c r="Q309" s="1213"/>
      <c r="R309" s="792"/>
      <c r="S309" s="792"/>
      <c r="T309" s="792"/>
      <c r="U309" s="792"/>
      <c r="V309" s="1213"/>
      <c r="W309" s="792"/>
      <c r="X309" s="792"/>
      <c r="Y309" s="792"/>
      <c r="Z309" s="792"/>
      <c r="AA309" s="1213"/>
      <c r="AB309" s="792"/>
      <c r="AC309" s="792"/>
      <c r="AD309" s="792"/>
      <c r="AE309" s="792"/>
      <c r="AF309" s="1213"/>
      <c r="AG309" s="792"/>
      <c r="AH309" s="792"/>
      <c r="AI309" s="792"/>
      <c r="AJ309" s="792"/>
      <c r="AK309" s="1213"/>
      <c r="AL309" s="792"/>
      <c r="AM309" s="792"/>
      <c r="AN309" s="792"/>
      <c r="AO309" s="792"/>
      <c r="AP309" s="1213"/>
      <c r="AQ309" s="792"/>
      <c r="AR309" s="792"/>
      <c r="AS309" s="792"/>
      <c r="AT309" s="792"/>
      <c r="AU309" s="1213"/>
      <c r="AV309" s="792"/>
      <c r="AW309" s="792"/>
      <c r="AX309" s="792"/>
      <c r="AY309" s="792"/>
      <c r="AZ309" s="1213"/>
      <c r="BA309" s="792"/>
      <c r="BB309" s="792"/>
      <c r="BC309" s="792"/>
      <c r="BD309" s="792"/>
      <c r="BE309" s="1213"/>
      <c r="BF309" s="792"/>
      <c r="BG309" s="792"/>
      <c r="BH309" s="894"/>
      <c r="BI309" s="792"/>
      <c r="BJ309" s="1213">
        <f ca="1">BJ362/(BJ363/BJ387)/BE305</f>
        <v>0.0010946184302932343</v>
      </c>
      <c r="BK309" s="792"/>
      <c r="BL309" s="792"/>
      <c r="BM309" s="792"/>
      <c r="BN309" s="792"/>
      <c r="BO309" s="1213">
        <f ca="1">BO362/(BO363/BO387)/BJ305</f>
        <v>0</v>
      </c>
      <c r="BP309" s="1213">
        <f ca="1">BP362/(BP363/BP387)/BO305</f>
        <v>0</v>
      </c>
      <c r="BQ309" s="1213">
        <f ca="1">BQ362/(BQ363/BQ387)/BP305</f>
        <v>0</v>
      </c>
      <c r="BR309" s="1213">
        <f ca="1">BR362/(BR363/BR387)/BQ305</f>
        <v>0</v>
      </c>
      <c r="BS309" s="664"/>
    </row>
    <row r="310" spans="1:71" s="667" customFormat="1" ht="15" customHeight="1" hidden="1" outlineLevel="1">
      <c r="A310" s="794" t="s">
        <v>594</v>
      </c>
      <c r="B310" s="783"/>
      <c r="C310" s="1177"/>
      <c r="D310" s="1177"/>
      <c r="E310" s="1177"/>
      <c r="F310" s="1177"/>
      <c r="G310" s="1177"/>
      <c r="H310" s="785">
        <f>H305/G305-1</f>
        <v>0.0008447116501659746</v>
      </c>
      <c r="I310" s="785">
        <f>I305/H305-1</f>
        <v>0.00032855596477854299</v>
      </c>
      <c r="J310" s="785">
        <f>J305/I305-1</f>
        <v>-0.012580748733011737</v>
      </c>
      <c r="K310" s="785">
        <f>K305/J305-1</f>
        <v>-0.0088390264737416846</v>
      </c>
      <c r="L310" s="1177"/>
      <c r="M310" s="785">
        <f>M305/K305-1</f>
        <v>0.0020171523737648744</v>
      </c>
      <c r="N310" s="785">
        <f>N305/M305-1</f>
        <v>-0.0039290002931647861</v>
      </c>
      <c r="O310" s="785">
        <f>O305/N305-1</f>
        <v>-0.0024359035458960676</v>
      </c>
      <c r="P310" s="785">
        <f>P305/O305-1</f>
        <v>0.0016865311978726538</v>
      </c>
      <c r="Q310" s="1177"/>
      <c r="R310" s="785">
        <f>R305/P305-1</f>
        <v>-0.0058092618859733047</v>
      </c>
      <c r="S310" s="785">
        <f>S305/R305-1</f>
        <v>-0.001331906880240652</v>
      </c>
      <c r="T310" s="785">
        <f>T305/S305-1</f>
        <v>-0.00043532297278936483</v>
      </c>
      <c r="U310" s="785">
        <f>U305/T305-1</f>
        <v>0.0012872317422951696</v>
      </c>
      <c r="V310" s="1177"/>
      <c r="W310" s="785">
        <f>W305/U305-1</f>
        <v>0.007676463773997666</v>
      </c>
      <c r="X310" s="785">
        <f>X305/W305-1</f>
        <v>0.0047445264516072783</v>
      </c>
      <c r="Y310" s="785">
        <f>Y305/X305-1</f>
        <v>0.00097198808116405466</v>
      </c>
      <c r="Z310" s="785">
        <f>Z305/Y305-1</f>
        <v>0.0020735634744426523</v>
      </c>
      <c r="AA310" s="1177"/>
      <c r="AB310" s="785">
        <f>AB305/Z305-1</f>
        <v>0.0068620769577412144</v>
      </c>
      <c r="AC310" s="785">
        <f>AC305/AB305-1</f>
        <v>0.0021478217224599749</v>
      </c>
      <c r="AD310" s="785">
        <f>AD305/AC305-1</f>
        <v>0.0013089843135418722</v>
      </c>
      <c r="AE310" s="785">
        <f>AE305/AD305-1</f>
        <v>0.0011550341103718775</v>
      </c>
      <c r="AF310" s="1177"/>
      <c r="AG310" s="785">
        <f>AG305/AE305-1</f>
        <v>0.0038748159907855406</v>
      </c>
      <c r="AH310" s="785">
        <f>AH305/AG305-1</f>
        <v>0.0031224357542454229</v>
      </c>
      <c r="AI310" s="785">
        <f>AI305/AH305-1</f>
        <v>0.0023334919711657243</v>
      </c>
      <c r="AJ310" s="785">
        <f>AJ305/AI305-1</f>
        <v>0.0019557088634389874</v>
      </c>
      <c r="AK310" s="1177"/>
      <c r="AL310" s="785">
        <f>AL305/AJ305-1</f>
        <v>-0.0052749784765152574</v>
      </c>
      <c r="AM310" s="785">
        <f>AM305/AL305-1</f>
        <v>-0.013001932952792949</v>
      </c>
      <c r="AN310" s="785">
        <f>AN305/AM305-1</f>
        <v>-0.015709838889402916</v>
      </c>
      <c r="AO310" s="785">
        <f>AO305/AN305-1</f>
        <v>-0.01055771841734332</v>
      </c>
      <c r="AP310" s="1177"/>
      <c r="AQ310" s="785">
        <f>AQ305/AO305-1</f>
        <v>-0.014119874069268401</v>
      </c>
      <c r="AR310" s="785">
        <f>AR305/AQ305-1</f>
        <v>-0.0048406092131926259</v>
      </c>
      <c r="AS310" s="785">
        <f>AS305/AR305-1</f>
        <v>0.00095615836815632349</v>
      </c>
      <c r="AT310" s="785">
        <f>AT305/AS305-1</f>
        <v>0.001485936670794219</v>
      </c>
      <c r="AU310" s="1177"/>
      <c r="AV310" s="785">
        <f>AV305/AT305-1</f>
        <v>0.0021411547202694337</v>
      </c>
      <c r="AW310" s="785">
        <f>AW305/AV305-1</f>
        <v>0.00060437473823582444</v>
      </c>
      <c r="AX310" s="785">
        <f>AX305/AW305-1</f>
        <v>-0.00016137771047342042</v>
      </c>
      <c r="AY310" s="785">
        <f>AY305/AX305-1</f>
        <v>0.00069859802713678754</v>
      </c>
      <c r="AZ310" s="1177"/>
      <c r="BA310" s="786">
        <f>BA305/AY305-1</f>
        <v>-0.00032863849765263353</v>
      </c>
      <c r="BB310" s="786">
        <f>BB305/BA305-1</f>
        <v>-0.0036749166392711086</v>
      </c>
      <c r="BC310" s="785">
        <f>BC305/BB305-1</f>
        <v>-0.0085234329888401739</v>
      </c>
      <c r="BD310" s="786">
        <f>BD305/BC305-1</f>
        <v>-0.0059416269263075083</v>
      </c>
      <c r="BE310" s="1177"/>
      <c r="BF310" s="786">
        <f>BF305/BD305-1</f>
        <v>0.0026489491516474839</v>
      </c>
      <c r="BG310" s="786">
        <f>BG305/BF305-1</f>
        <v>0.00047596302645080968</v>
      </c>
      <c r="BH310" s="889">
        <f>BH305/BG305-1</f>
        <v>0.00031203638611976281</v>
      </c>
      <c r="BI310" s="786">
        <f ca="1">BI305/BH305-1</f>
        <v>0</v>
      </c>
      <c r="BJ310" s="1177"/>
      <c r="BK310" s="786">
        <f ca="1">BK305/BI305-1</f>
        <v>0</v>
      </c>
      <c r="BL310" s="786">
        <f ca="1">BL305/BK305-1</f>
        <v>0</v>
      </c>
      <c r="BM310" s="786">
        <f ca="1">BM305/BL305-1</f>
        <v>0</v>
      </c>
      <c r="BN310" s="786">
        <f ca="1">BN305/BM305-1</f>
        <v>0</v>
      </c>
      <c r="BO310" s="1177"/>
      <c r="BP310" s="1177"/>
      <c r="BQ310" s="1177"/>
      <c r="BR310" s="1177"/>
      <c r="BS310" s="664"/>
    </row>
    <row r="311" spans="1:71" s="667" customFormat="1" ht="15" customHeight="1" hidden="1" outlineLevel="1">
      <c r="A311" s="794" t="s">
        <v>595</v>
      </c>
      <c r="B311" s="783"/>
      <c r="C311" s="1177"/>
      <c r="D311" s="1183">
        <f>D305/C305-1</f>
        <v>-0.072477661617501798</v>
      </c>
      <c r="E311" s="1183">
        <f>E305/D305-1</f>
        <v>-0.06962135363023525</v>
      </c>
      <c r="F311" s="1183">
        <f>F305/E305-1</f>
        <v>-0.09062263730453779</v>
      </c>
      <c r="G311" s="1183">
        <f>G305/F305-1</f>
        <v>0.0060023284291179646</v>
      </c>
      <c r="H311" s="786"/>
      <c r="I311" s="786"/>
      <c r="J311" s="786"/>
      <c r="K311" s="786"/>
      <c r="L311" s="1183">
        <f t="shared" si="822" ref="L311:AQ311">L305/G305-1</f>
        <v>-0.020160035058890524</v>
      </c>
      <c r="M311" s="785">
        <f t="shared" si="822"/>
        <v>-0.01901220037071738</v>
      </c>
      <c r="N311" s="785">
        <f t="shared" si="822"/>
        <v>-0.023187439316335157</v>
      </c>
      <c r="O311" s="785">
        <f t="shared" si="822"/>
        <v>-0.013151568340302955</v>
      </c>
      <c r="P311" s="785">
        <f t="shared" si="822"/>
        <v>-0.0026718073751168525</v>
      </c>
      <c r="Q311" s="1183">
        <f t="shared" si="822"/>
        <v>-0.0026718073751168525</v>
      </c>
      <c r="R311" s="785">
        <f t="shared" si="822"/>
        <v>-0.010461597769330311</v>
      </c>
      <c r="S311" s="785">
        <f t="shared" si="822"/>
        <v>-0.0078815370437141929</v>
      </c>
      <c r="T311" s="785">
        <f t="shared" si="822"/>
        <v>-0.0058918775017700042</v>
      </c>
      <c r="U311" s="785">
        <f t="shared" si="822"/>
        <v>-0.0062881559978221757</v>
      </c>
      <c r="V311" s="1183">
        <f t="shared" si="822"/>
        <v>-0.0062881559978221757</v>
      </c>
      <c r="W311" s="785">
        <f t="shared" si="822"/>
        <v>0.0071910736907370154</v>
      </c>
      <c r="X311" s="785">
        <f t="shared" si="822"/>
        <v>0.013319365416364581</v>
      </c>
      <c r="Y311" s="785">
        <f t="shared" si="822"/>
        <v>0.014746042025602923</v>
      </c>
      <c r="Z311" s="785">
        <f t="shared" si="822"/>
        <v>0.015542943241977358</v>
      </c>
      <c r="AA311" s="1183">
        <f t="shared" si="822"/>
        <v>0.015542943241977358</v>
      </c>
      <c r="AB311" s="785">
        <f t="shared" si="822"/>
        <v>0.014722198872082259</v>
      </c>
      <c r="AC311" s="785">
        <f t="shared" si="822"/>
        <v>0.012099707419565897</v>
      </c>
      <c r="AD311" s="785">
        <f t="shared" si="822"/>
        <v>0.012440450010020143</v>
      </c>
      <c r="AE311" s="785">
        <f t="shared" si="822"/>
        <v>0.011512418060466656</v>
      </c>
      <c r="AF311" s="1183">
        <f t="shared" si="822"/>
        <v>0.011512418060466656</v>
      </c>
      <c r="AG311" s="785">
        <f t="shared" si="822"/>
        <v>0.0085113599878525736</v>
      </c>
      <c r="AH311" s="785">
        <f t="shared" si="822"/>
        <v>0.0094921627210959869</v>
      </c>
      <c r="AI311" s="785">
        <f t="shared" si="822"/>
        <v>0.010525043147838753</v>
      </c>
      <c r="AJ311" s="785">
        <f t="shared" si="822"/>
        <v>0.011333211575128788</v>
      </c>
      <c r="AK311" s="1183">
        <f t="shared" si="822"/>
        <v>0.011333211575128788</v>
      </c>
      <c r="AL311" s="785">
        <f t="shared" si="822"/>
        <v>0.0021154377287604387</v>
      </c>
      <c r="AM311" s="785">
        <f t="shared" si="822"/>
        <v>-0.013992744312651295</v>
      </c>
      <c r="AN311" s="785">
        <f t="shared" si="822"/>
        <v>-0.031742181289261873</v>
      </c>
      <c r="AO311" s="785">
        <f t="shared" si="822"/>
        <v>-0.043834755538107228</v>
      </c>
      <c r="AP311" s="1183">
        <f t="shared" si="822"/>
        <v>-0.043834755538107228</v>
      </c>
      <c r="AQ311" s="785">
        <f t="shared" si="822"/>
        <v>-0.052336785318892187</v>
      </c>
      <c r="AR311" s="785">
        <f t="shared" si="823" ref="AR311:BJ311">AR305/AM305-1</f>
        <v>-0.044500714966433264</v>
      </c>
      <c r="AS311" s="785">
        <f t="shared" si="823"/>
        <v>-0.028322204712910581</v>
      </c>
      <c r="AT311" s="785">
        <f t="shared" si="823"/>
        <v>-0.016494781889902721</v>
      </c>
      <c r="AU311" s="1183">
        <f t="shared" si="823"/>
        <v>-0.016494781889902721</v>
      </c>
      <c r="AV311" s="785">
        <f t="shared" si="823"/>
        <v>-0.00027292464204442535</v>
      </c>
      <c r="AW311" s="785">
        <f t="shared" si="823"/>
        <v>0.0051970512548102921</v>
      </c>
      <c r="AX311" s="785">
        <f t="shared" si="823"/>
        <v>0.0040747803526151039</v>
      </c>
      <c r="AY311" s="785">
        <f t="shared" si="823"/>
        <v>0.0032854064365703817</v>
      </c>
      <c r="AZ311" s="1183">
        <f t="shared" si="823"/>
        <v>0.003332579691713411</v>
      </c>
      <c r="BA311" s="786">
        <f t="shared" si="823"/>
        <v>0.0008127931916339648</v>
      </c>
      <c r="BB311" s="786">
        <f t="shared" si="823"/>
        <v>-0.0034673895304573321</v>
      </c>
      <c r="BC311" s="785">
        <f>BC305/AX305-1</f>
        <v>-0.011801795293218897</v>
      </c>
      <c r="BD311" s="786">
        <f t="shared" si="823"/>
        <v>-0.018359072769953078</v>
      </c>
      <c r="BE311" s="1183">
        <f t="shared" si="823"/>
        <v>-0.01840522615802842</v>
      </c>
      <c r="BF311" s="786">
        <f>BF305/BA305-1</f>
        <v>-0.015435189968534213</v>
      </c>
      <c r="BG311" s="786">
        <f>BG305/BB305-1</f>
        <v>-0.011333305836740859</v>
      </c>
      <c r="BH311" s="889">
        <f>BH305/BC305-1</f>
        <v>-0.0025228764337996701</v>
      </c>
      <c r="BI311" s="786">
        <f ca="1">BI305/BD305-1</f>
        <v>0.0034391848457921981</v>
      </c>
      <c r="BJ311" s="1177">
        <f t="shared" ca="1" si="823"/>
        <v>0.0034391848457921981</v>
      </c>
      <c r="BK311" s="786">
        <f ca="1">BK305/BF305-1</f>
        <v>0.00078814793035331121</v>
      </c>
      <c r="BL311" s="786">
        <f ca="1">BL305/BG305-1</f>
        <v>0.00031203638611976281</v>
      </c>
      <c r="BM311" s="786">
        <f ca="1">BM305/BH305-1</f>
        <v>0</v>
      </c>
      <c r="BN311" s="786">
        <f ca="1">BN305/BI305-1</f>
        <v>0</v>
      </c>
      <c r="BO311" s="1177">
        <f ca="1">BO305/BJ305-1</f>
        <v>0</v>
      </c>
      <c r="BP311" s="1177">
        <f ca="1">BP305/BO305-1</f>
        <v>0</v>
      </c>
      <c r="BQ311" s="1177">
        <f ca="1">BQ305/BP305-1</f>
        <v>0</v>
      </c>
      <c r="BR311" s="1177">
        <f ca="1">BR305/BQ305-1</f>
        <v>0</v>
      </c>
      <c r="BS311" s="664"/>
    </row>
    <row r="312" spans="1:71" s="667" customFormat="1" ht="15" customHeight="1" hidden="1" outlineLevel="1">
      <c r="A312" s="421"/>
      <c r="B312" s="500"/>
      <c r="C312" s="1161"/>
      <c r="D312" s="1161"/>
      <c r="E312" s="1161"/>
      <c r="F312" s="1161"/>
      <c r="G312" s="1161"/>
      <c r="H312" s="971"/>
      <c r="I312" s="971"/>
      <c r="J312" s="971"/>
      <c r="K312" s="971"/>
      <c r="L312" s="1161"/>
      <c r="M312" s="971"/>
      <c r="N312" s="971"/>
      <c r="O312" s="971"/>
      <c r="P312" s="971"/>
      <c r="Q312" s="1161"/>
      <c r="R312" s="971"/>
      <c r="S312" s="971"/>
      <c r="T312" s="971"/>
      <c r="U312" s="971"/>
      <c r="V312" s="1161"/>
      <c r="W312" s="971"/>
      <c r="X312" s="971"/>
      <c r="Y312" s="971"/>
      <c r="Z312" s="971"/>
      <c r="AA312" s="1161"/>
      <c r="AB312" s="971"/>
      <c r="AC312" s="971"/>
      <c r="AD312" s="971"/>
      <c r="AE312" s="971"/>
      <c r="AF312" s="1161"/>
      <c r="AG312" s="971"/>
      <c r="AH312" s="971"/>
      <c r="AI312" s="971"/>
      <c r="AJ312" s="971"/>
      <c r="AK312" s="1161"/>
      <c r="AL312" s="971"/>
      <c r="AM312" s="971"/>
      <c r="AN312" s="971"/>
      <c r="AO312" s="971"/>
      <c r="AP312" s="1161"/>
      <c r="AQ312" s="971"/>
      <c r="AR312" s="971"/>
      <c r="AS312" s="971"/>
      <c r="AT312" s="971"/>
      <c r="AU312" s="1161"/>
      <c r="AV312" s="971"/>
      <c r="AW312" s="971"/>
      <c r="AX312" s="971"/>
      <c r="AY312" s="971"/>
      <c r="AZ312" s="1161"/>
      <c r="BA312" s="971"/>
      <c r="BB312" s="971"/>
      <c r="BC312" s="971"/>
      <c r="BD312" s="971"/>
      <c r="BE312" s="1161"/>
      <c r="BF312" s="971"/>
      <c r="BG312" s="971"/>
      <c r="BH312" s="972"/>
      <c r="BI312" s="973"/>
      <c r="BJ312" s="1162"/>
      <c r="BK312" s="973"/>
      <c r="BL312" s="973"/>
      <c r="BM312" s="973"/>
      <c r="BN312" s="973"/>
      <c r="BO312" s="1162"/>
      <c r="BP312" s="1161"/>
      <c r="BQ312" s="1161"/>
      <c r="BR312" s="1162"/>
      <c r="BS312" s="664"/>
    </row>
    <row r="313" spans="1:71" s="667" customFormat="1" ht="15" customHeight="1" hidden="1" outlineLevel="1">
      <c r="A313" s="421" t="s">
        <v>599</v>
      </c>
      <c r="B313" s="500"/>
      <c r="C313" s="1211">
        <v>112.14178099999999</v>
      </c>
      <c r="D313" s="1211">
        <v>104.98365699999999</v>
      </c>
      <c r="E313" s="1211">
        <v>97.895717000000005</v>
      </c>
      <c r="F313" s="1211">
        <v>89.144834000000003</v>
      </c>
      <c r="G313" s="1211">
        <v>89.560038000000006</v>
      </c>
      <c r="H313" s="1073">
        <v>89.593249999999998</v>
      </c>
      <c r="I313" s="1073">
        <v>89.216932</v>
      </c>
      <c r="J313" s="1073">
        <v>87.870863</v>
      </c>
      <c r="K313" s="971">
        <f>L313</f>
        <v>87.255891000000005</v>
      </c>
      <c r="L313" s="1211">
        <v>87.255891000000005</v>
      </c>
      <c r="M313" s="1073">
        <v>87.908873</v>
      </c>
      <c r="N313" s="1073">
        <v>87.609012000000007</v>
      </c>
      <c r="O313" s="1073">
        <v>87.349107000000004</v>
      </c>
      <c r="P313" s="971">
        <f>Q313</f>
        <v>86.591707999999997</v>
      </c>
      <c r="Q313" s="1211">
        <v>86.591707999999997</v>
      </c>
      <c r="R313" s="1073">
        <v>86.706812999999997</v>
      </c>
      <c r="S313" s="1073">
        <v>86.893456999999998</v>
      </c>
      <c r="T313" s="1073">
        <v>86.845988000000006</v>
      </c>
      <c r="U313" s="971">
        <f>V313</f>
        <v>87.014273000000003</v>
      </c>
      <c r="V313" s="1211">
        <v>87.014273000000003</v>
      </c>
      <c r="W313" s="1073">
        <v>87.636893999999998</v>
      </c>
      <c r="X313" s="1073">
        <v>88.022622999999996</v>
      </c>
      <c r="Y313" s="1073">
        <v>88.112752999999998</v>
      </c>
      <c r="Z313" s="971">
        <f>AA313</f>
        <v>88.425972000000002</v>
      </c>
      <c r="AA313" s="1211">
        <v>88.425972000000002</v>
      </c>
      <c r="AB313" s="1073">
        <v>88.935220999999999</v>
      </c>
      <c r="AC313" s="1073">
        <v>89.087663000000006</v>
      </c>
      <c r="AD313" s="1073">
        <v>89.253183000000007</v>
      </c>
      <c r="AE313" s="971">
        <f>AF313</f>
        <v>89.312398000000002</v>
      </c>
      <c r="AF313" s="1211">
        <v>89.312398000000002</v>
      </c>
      <c r="AG313" s="1073">
        <v>89.687455</v>
      </c>
      <c r="AH313" s="1073">
        <v>89.941873999999999</v>
      </c>
      <c r="AI313" s="1073">
        <v>90.176219000000003</v>
      </c>
      <c r="AJ313" s="971">
        <f>AK313</f>
        <v>90.339433</v>
      </c>
      <c r="AK313" s="1211">
        <v>90.339433</v>
      </c>
      <c r="AL313" s="1073">
        <v>89.841655000000003</v>
      </c>
      <c r="AM313" s="1073">
        <v>88.540127999999996</v>
      </c>
      <c r="AN313" s="1073">
        <v>86.844220000000007</v>
      </c>
      <c r="AO313" s="971">
        <f>AP313</f>
        <v>86.399280000000005</v>
      </c>
      <c r="AP313" s="1211">
        <v>86.399280000000005</v>
      </c>
      <c r="AQ313" s="1073">
        <v>85.099637999999999</v>
      </c>
      <c r="AR313" s="1073">
        <v>84.749382999999995</v>
      </c>
      <c r="AS313" s="1073">
        <v>84.807882000000006</v>
      </c>
      <c r="AT313" s="971">
        <f>AU313</f>
        <v>84.932151000000005</v>
      </c>
      <c r="AU313" s="1211">
        <v>84.932151000000005</v>
      </c>
      <c r="AV313" s="1073">
        <v>85.102025999999995</v>
      </c>
      <c r="AW313" s="1073">
        <v>85.162302999999994</v>
      </c>
      <c r="AX313" s="1073">
        <v>85.143502999999995</v>
      </c>
      <c r="AY313" s="971">
        <f>AZ313</f>
        <v>85.200125</v>
      </c>
      <c r="AZ313" s="1211">
        <v>85.200125</v>
      </c>
      <c r="BA313" s="1073">
        <v>85.179670999999999</v>
      </c>
      <c r="BB313" s="1073">
        <v>84.863650000000007</v>
      </c>
      <c r="BC313" s="1073">
        <v>83.777809000000005</v>
      </c>
      <c r="BD313" s="971">
        <f>BE313</f>
        <v>83.661691000000005</v>
      </c>
      <c r="BE313" s="1211">
        <v>83.661691000000005</v>
      </c>
      <c r="BF313" s="1073">
        <v>83.866972000000004</v>
      </c>
      <c r="BG313" s="1073">
        <v>83.903814999999994</v>
      </c>
      <c r="BH313" s="1074">
        <v>83.931257000000002</v>
      </c>
      <c r="BI313" s="973"/>
      <c r="BJ313" s="1162"/>
      <c r="BK313" s="973"/>
      <c r="BL313" s="973"/>
      <c r="BM313" s="973"/>
      <c r="BN313" s="973"/>
      <c r="BO313" s="1162"/>
      <c r="BP313" s="1161"/>
      <c r="BQ313" s="1161"/>
      <c r="BR313" s="1162"/>
      <c r="BS313" s="664"/>
    </row>
    <row r="314" spans="1:71" s="667" customFormat="1" ht="15" customHeight="1" hidden="1" outlineLevel="1">
      <c r="A314" s="421" t="s">
        <v>600</v>
      </c>
      <c r="B314" s="500"/>
      <c r="C314" s="1214">
        <v>40210</v>
      </c>
      <c r="D314" s="1214">
        <v>40575</v>
      </c>
      <c r="E314" s="1214">
        <v>40940</v>
      </c>
      <c r="F314" s="1214">
        <v>41306</v>
      </c>
      <c r="G314" s="1214">
        <v>41671</v>
      </c>
      <c r="H314" s="1077">
        <v>41760</v>
      </c>
      <c r="I314" s="1077">
        <v>41852</v>
      </c>
      <c r="J314" s="1077">
        <v>41944</v>
      </c>
      <c r="K314" s="653">
        <f>L314</f>
        <v>42036</v>
      </c>
      <c r="L314" s="1214">
        <v>42036</v>
      </c>
      <c r="M314" s="1077">
        <v>42125</v>
      </c>
      <c r="N314" s="1077">
        <v>42217</v>
      </c>
      <c r="O314" s="1077">
        <v>42309</v>
      </c>
      <c r="P314" s="653">
        <f>Q314</f>
        <v>42401</v>
      </c>
      <c r="Q314" s="1214">
        <v>42401</v>
      </c>
      <c r="R314" s="1077">
        <v>42491</v>
      </c>
      <c r="S314" s="1077">
        <v>42583</v>
      </c>
      <c r="T314" s="1077">
        <v>42675</v>
      </c>
      <c r="U314" s="653">
        <f>V314</f>
        <v>42767</v>
      </c>
      <c r="V314" s="1214">
        <v>42767</v>
      </c>
      <c r="W314" s="1077">
        <v>42856</v>
      </c>
      <c r="X314" s="1077">
        <v>42948</v>
      </c>
      <c r="Y314" s="1077">
        <v>43040</v>
      </c>
      <c r="Z314" s="653">
        <f>AA314</f>
        <v>43132</v>
      </c>
      <c r="AA314" s="1214">
        <v>43132</v>
      </c>
      <c r="AB314" s="1077">
        <v>43221</v>
      </c>
      <c r="AC314" s="1077">
        <v>43313</v>
      </c>
      <c r="AD314" s="1077">
        <v>43405</v>
      </c>
      <c r="AE314" s="653">
        <f>AF314</f>
        <v>43497</v>
      </c>
      <c r="AF314" s="1214">
        <v>43497</v>
      </c>
      <c r="AG314" s="1077">
        <v>43586</v>
      </c>
      <c r="AH314" s="1077">
        <v>43678</v>
      </c>
      <c r="AI314" s="1077">
        <v>43770</v>
      </c>
      <c r="AJ314" s="653">
        <f>AK314</f>
        <v>43862</v>
      </c>
      <c r="AK314" s="1214">
        <v>43862</v>
      </c>
      <c r="AL314" s="1077">
        <v>43952</v>
      </c>
      <c r="AM314" s="1077">
        <v>44044</v>
      </c>
      <c r="AN314" s="1077">
        <v>44136</v>
      </c>
      <c r="AO314" s="653">
        <f>AP314</f>
        <v>44228</v>
      </c>
      <c r="AP314" s="1214">
        <v>44228</v>
      </c>
      <c r="AQ314" s="1077">
        <v>44317</v>
      </c>
      <c r="AR314" s="1077">
        <v>44409</v>
      </c>
      <c r="AS314" s="1077">
        <v>44501</v>
      </c>
      <c r="AT314" s="653">
        <f>AU314</f>
        <v>44593</v>
      </c>
      <c r="AU314" s="1214">
        <v>44593</v>
      </c>
      <c r="AV314" s="1077">
        <v>44682</v>
      </c>
      <c r="AW314" s="1077">
        <v>44774</v>
      </c>
      <c r="AX314" s="1077">
        <v>44866</v>
      </c>
      <c r="AY314" s="653">
        <f>AZ314</f>
        <v>44958</v>
      </c>
      <c r="AZ314" s="1214">
        <v>44958</v>
      </c>
      <c r="BA314" s="1077">
        <v>45047</v>
      </c>
      <c r="BB314" s="1077">
        <v>45139</v>
      </c>
      <c r="BC314" s="1077">
        <v>45231</v>
      </c>
      <c r="BD314" s="653">
        <f>BE314</f>
        <v>45323</v>
      </c>
      <c r="BE314" s="1214">
        <v>45323</v>
      </c>
      <c r="BF314" s="1077">
        <v>45413</v>
      </c>
      <c r="BG314" s="1077">
        <v>45505</v>
      </c>
      <c r="BH314" s="1078">
        <v>45597</v>
      </c>
      <c r="BI314" s="654"/>
      <c r="BJ314" s="1215"/>
      <c r="BK314" s="654"/>
      <c r="BL314" s="654"/>
      <c r="BM314" s="654"/>
      <c r="BN314" s="654"/>
      <c r="BO314" s="1215"/>
      <c r="BP314" s="1216"/>
      <c r="BQ314" s="1216"/>
      <c r="BR314" s="1215"/>
      <c r="BS314" s="664"/>
    </row>
    <row r="315" spans="1:71" s="667" customFormat="1" ht="15" customHeight="1" hidden="1" outlineLevel="1">
      <c r="A315" s="781"/>
      <c r="B315" s="780"/>
      <c r="C315" s="1216"/>
      <c r="D315" s="1216"/>
      <c r="E315" s="1216"/>
      <c r="F315" s="1216"/>
      <c r="G315" s="1216"/>
      <c r="H315" s="653"/>
      <c r="I315" s="653"/>
      <c r="J315" s="653"/>
      <c r="K315" s="653"/>
      <c r="L315" s="1216"/>
      <c r="M315" s="653"/>
      <c r="N315" s="653"/>
      <c r="O315" s="653"/>
      <c r="P315" s="653"/>
      <c r="Q315" s="1216"/>
      <c r="R315" s="653"/>
      <c r="S315" s="653"/>
      <c r="T315" s="653"/>
      <c r="U315" s="653"/>
      <c r="V315" s="1216"/>
      <c r="W315" s="653"/>
      <c r="X315" s="653"/>
      <c r="Y315" s="653"/>
      <c r="Z315" s="653"/>
      <c r="AA315" s="1216"/>
      <c r="AB315" s="653"/>
      <c r="AC315" s="653"/>
      <c r="AD315" s="653"/>
      <c r="AE315" s="653"/>
      <c r="AF315" s="1216"/>
      <c r="AG315" s="653"/>
      <c r="AH315" s="653"/>
      <c r="AI315" s="653"/>
      <c r="AJ315" s="653"/>
      <c r="AK315" s="1216"/>
      <c r="AL315" s="653"/>
      <c r="AM315" s="653"/>
      <c r="AN315" s="653"/>
      <c r="AO315" s="653"/>
      <c r="AP315" s="1216"/>
      <c r="AQ315" s="653"/>
      <c r="AR315" s="653"/>
      <c r="AS315" s="653"/>
      <c r="AT315" s="653"/>
      <c r="AU315" s="1216"/>
      <c r="AV315" s="653"/>
      <c r="AW315" s="653"/>
      <c r="AX315" s="653"/>
      <c r="AY315" s="653"/>
      <c r="AZ315" s="1216"/>
      <c r="BA315" s="653"/>
      <c r="BB315" s="653"/>
      <c r="BC315" s="653"/>
      <c r="BD315" s="653"/>
      <c r="BE315" s="1216"/>
      <c r="BF315" s="653"/>
      <c r="BG315" s="653"/>
      <c r="BH315" s="895"/>
      <c r="BI315" s="653"/>
      <c r="BJ315" s="1216"/>
      <c r="BK315" s="653"/>
      <c r="BL315" s="653"/>
      <c r="BM315" s="653"/>
      <c r="BN315" s="653"/>
      <c r="BO315" s="1216"/>
      <c r="BP315" s="1216"/>
      <c r="BQ315" s="1216"/>
      <c r="BR315" s="1216"/>
      <c r="BS315" s="664"/>
    </row>
    <row r="316" spans="1:71" s="667" customFormat="1" ht="15" customHeight="1" hidden="1" outlineLevel="1">
      <c r="A316" s="781" t="s">
        <v>601</v>
      </c>
      <c r="B316" s="780"/>
      <c r="C316" s="1161">
        <f>C301-C300</f>
        <v>1.0999999999999943</v>
      </c>
      <c r="D316" s="1161">
        <f t="shared" si="824" ref="D316:K316">IF(D287&gt;0,(D301-D300),C316)</f>
        <v>1.2999999999999972</v>
      </c>
      <c r="E316" s="1161">
        <f t="shared" si="824"/>
        <v>1.6000000000000085</v>
      </c>
      <c r="F316" s="1161">
        <f t="shared" si="824"/>
        <v>1.7000000000000028</v>
      </c>
      <c r="G316" s="1161">
        <f t="shared" si="824"/>
        <v>1.9000000000000057</v>
      </c>
      <c r="H316" s="971">
        <f t="shared" si="824"/>
        <v>2</v>
      </c>
      <c r="I316" s="971">
        <f t="shared" si="824"/>
        <v>2</v>
      </c>
      <c r="J316" s="971">
        <f t="shared" si="824"/>
        <v>1.9000000000000057</v>
      </c>
      <c r="K316" s="971">
        <f t="shared" si="824"/>
        <v>1.4720000000000084</v>
      </c>
      <c r="L316" s="1161">
        <f>K316</f>
        <v>1.4720000000000084</v>
      </c>
      <c r="M316" s="971">
        <f>IF(M287&gt;0,(M301-M300),L316)</f>
        <v>1.8000000000000114</v>
      </c>
      <c r="N316" s="971">
        <f>IF(N287&gt;0,(N301-N300),M316)</f>
        <v>1.7999999999999972</v>
      </c>
      <c r="O316" s="971">
        <f>IF(O287&gt;0,(O301-O300),N316)</f>
        <v>1.7999999999999972</v>
      </c>
      <c r="P316" s="971">
        <f>IF(P287&gt;0,(P301-P300),O316)</f>
        <v>2.0279999999999916</v>
      </c>
      <c r="Q316" s="1161">
        <f>P316</f>
        <v>2.0279999999999916</v>
      </c>
      <c r="R316" s="971">
        <f>IF(R287&gt;0,(R301-R300),Q316)</f>
        <v>1.5999999999999943</v>
      </c>
      <c r="S316" s="971">
        <f>IF(S287&gt;0,(S301-S300),R316)</f>
        <v>1.6000000000000085</v>
      </c>
      <c r="T316" s="971">
        <f>IF(T287&gt;0,(T301-T300),S316)</f>
        <v>1.5999999999999943</v>
      </c>
      <c r="U316" s="971">
        <f>IF(U287&gt;0,(U301-U300),T316)</f>
        <v>1.7239999999999895</v>
      </c>
      <c r="V316" s="1161">
        <f>U316</f>
        <v>1.7239999999999895</v>
      </c>
      <c r="W316" s="971">
        <f>IF(W287&gt;0,(W301-W300),V316)</f>
        <v>2.0999999999999943</v>
      </c>
      <c r="X316" s="971">
        <f>IF(X287&gt;0,(X301-X300),W316)</f>
        <v>2</v>
      </c>
      <c r="Y316" s="971">
        <f>IF(Y287&gt;0,(Y301-Y300),X316)</f>
        <v>1.9000000000000057</v>
      </c>
      <c r="Z316" s="971">
        <f>IF(Z287&gt;0,(Z301-Z300),Y316)</f>
        <v>1.8999999999999915</v>
      </c>
      <c r="AA316" s="1161">
        <f>Z316</f>
        <v>1.8999999999999915</v>
      </c>
      <c r="AB316" s="971">
        <f>IF(AB287&gt;0,(AB301-AB300),AA316)</f>
        <v>1.8000000000000114</v>
      </c>
      <c r="AC316" s="971">
        <f>IF(AC287&gt;0,(AC301-AC300),AB316)</f>
        <v>1.7000000000000028</v>
      </c>
      <c r="AD316" s="971">
        <f>IF(AD287&gt;0,(AD301-AD300),AC316)</f>
        <v>1.6310000000000002</v>
      </c>
      <c r="AE316" s="971">
        <f>IF(AE287&gt;0,(AE301-AE300),AD316)</f>
        <v>1.6310000000000002</v>
      </c>
      <c r="AF316" s="1161">
        <f>AE316</f>
        <v>1.6310000000000002</v>
      </c>
      <c r="AG316" s="971">
        <f>IF(AG287&gt;0,(AG301-AG300),AF316)</f>
        <v>1.2999999999999972</v>
      </c>
      <c r="AH316" s="971">
        <f>IF(AH287&gt;0,(AH301-AH300),AG316)</f>
        <v>1.2999999999999972</v>
      </c>
      <c r="AI316" s="971">
        <f>IF(AI287&gt;0,(AI301-AI300),AH316)</f>
        <v>1.0999999999999943</v>
      </c>
      <c r="AJ316" s="971">
        <f>IF(AJ287&gt;0,(AJ301-AJ300),AI316)</f>
        <v>1.0999999999999943</v>
      </c>
      <c r="AK316" s="1161">
        <f>AJ316</f>
        <v>1.0999999999999943</v>
      </c>
      <c r="AL316" s="971">
        <f>IF(AL287&gt;0,(AL301-AL300),AK316)</f>
        <v>1.0999999999999943</v>
      </c>
      <c r="AM316" s="971">
        <f>IF(AM287&gt;0,(AM301-AM300),AL316)</f>
        <v>0.29999999999999716</v>
      </c>
      <c r="AN316" s="971">
        <f>IF(AN287&gt;0,(AN301-AN300),AM316)</f>
        <v>0.29999999999999716</v>
      </c>
      <c r="AO316" s="971">
        <f>IF(AO287&gt;0,(AO301-AO300),AN316)</f>
        <v>0.60000000000000853</v>
      </c>
      <c r="AP316" s="1161">
        <f>AO316</f>
        <v>0.60000000000000853</v>
      </c>
      <c r="AQ316" s="971">
        <f>IF(AQ287&gt;0,(AQ301-AQ300),AP316)</f>
        <v>0.69999999999998863</v>
      </c>
      <c r="AR316" s="971">
        <f>IF(AR287&gt;0,(AR301-AR300),AQ316)</f>
        <v>0.617999999999995</v>
      </c>
      <c r="AS316" s="971">
        <f>IF(AS287&gt;0,(AS301-AS300),AR316)</f>
        <v>0.40000000000000568</v>
      </c>
      <c r="AT316" s="971">
        <f>IF(AT287&gt;0,(AT301-AT300),AS316)</f>
        <v>0.50000000000002842</v>
      </c>
      <c r="AU316" s="1161">
        <f>AT316</f>
        <v>0.50000000000002842</v>
      </c>
      <c r="AV316" s="971">
        <f>IF(AV287&gt;0,(AV301-AV300),AU316)</f>
        <v>0.20000000000000284</v>
      </c>
      <c r="AW316" s="971">
        <f>IF(AW287&gt;0,(AW301-AW300),AV316)</f>
        <v>0.20000000000000284</v>
      </c>
      <c r="AX316" s="971">
        <f>IF(AX287&gt;0,(AX301-AX300),AW316)</f>
        <v>0.20000000000000284</v>
      </c>
      <c r="AY316" s="971">
        <f>IF(AY287&gt;0,(AY301-AY300),AX316)</f>
        <v>0.20000000000001705</v>
      </c>
      <c r="AZ316" s="1161">
        <f>AY316</f>
        <v>0.20000000000001705</v>
      </c>
      <c r="BA316" s="971">
        <f>IF(BA287&gt;0,(BA301-BA300),AZ316)</f>
        <v>0.17799999999999727</v>
      </c>
      <c r="BB316" s="971">
        <f>IF(BB287&gt;0,(BB301-BB300),BA316)</f>
        <v>0.10000000000000853</v>
      </c>
      <c r="BC316" s="971">
        <f>IF(BC287&gt;0,(BC301-BC300),BB316)</f>
        <v>0.10000000000000853</v>
      </c>
      <c r="BD316" s="971">
        <f t="shared" si="825" ref="BD316:BF316">IF(BD287&gt;0,(BD301-BD300),BC316)</f>
        <v>-0.10000000000003695</v>
      </c>
      <c r="BE316" s="1161">
        <f>BD316</f>
        <v>-0.10000000000003695</v>
      </c>
      <c r="BF316" s="971">
        <f t="shared" si="825"/>
        <v>0.099999999999994316</v>
      </c>
      <c r="BG316" s="971">
        <f t="shared" si="826" ref="BG316">IF(BG287&gt;0,(BG301-BG300),BF316)</f>
        <v>0</v>
      </c>
      <c r="BH316" s="972">
        <f>IF(BH287&gt;0,(BH301-BH300),BG316)</f>
        <v>0</v>
      </c>
      <c r="BI316" s="971">
        <f ca="1">BI305*BI317-BI305</f>
        <v>0.083923445999985802</v>
      </c>
      <c r="BJ316" s="1161">
        <f ca="1">BI316</f>
        <v>0.083923445999985802</v>
      </c>
      <c r="BK316" s="971">
        <f ca="1">BK305*BK317-BK305</f>
        <v>0.083923445999985802</v>
      </c>
      <c r="BL316" s="971">
        <f ca="1">BL305*BL317-BL305</f>
        <v>0.083923445999985802</v>
      </c>
      <c r="BM316" s="971">
        <f ca="1">BM305*BM317-BM305</f>
        <v>0.083923445999985802</v>
      </c>
      <c r="BN316" s="971">
        <f ca="1">BN305*BN317-BN305</f>
        <v>0.083923445999985802</v>
      </c>
      <c r="BO316" s="1161">
        <f ca="1">BN316</f>
        <v>0.083923445999985802</v>
      </c>
      <c r="BP316" s="1161">
        <f ca="1">BP305*BP317-BP305</f>
        <v>0.083923445999985802</v>
      </c>
      <c r="BQ316" s="1161">
        <f ca="1">BQ305*BQ317-BQ305</f>
        <v>0.083923445999985802</v>
      </c>
      <c r="BR316" s="1161">
        <f ca="1">BR305*BR317-BR305</f>
        <v>0.083923445999985802</v>
      </c>
      <c r="BS316" s="664"/>
    </row>
    <row r="317" spans="1:71" s="667" customFormat="1" ht="15" customHeight="1" hidden="1" outlineLevel="1">
      <c r="A317" s="795" t="s">
        <v>596</v>
      </c>
      <c r="B317" s="783"/>
      <c r="C317" s="1217">
        <f t="shared" si="827" ref="C317:AH317">(C316+C305)/C305</f>
        <v>1.0097013447201484</v>
      </c>
      <c r="D317" s="1217">
        <f t="shared" si="827"/>
        <v>1.0123611314832066</v>
      </c>
      <c r="E317" s="1217">
        <f t="shared" si="827"/>
        <v>1.0163521597861105</v>
      </c>
      <c r="F317" s="1217">
        <f t="shared" si="827"/>
        <v>1.0191055666057534</v>
      </c>
      <c r="G317" s="1217">
        <f t="shared" si="827"/>
        <v>1.0212258756472468</v>
      </c>
      <c r="H317" s="797">
        <f t="shared" si="827"/>
        <v>1.0223241695110357</v>
      </c>
      <c r="I317" s="797">
        <f t="shared" si="827"/>
        <v>1.0223168371810647</v>
      </c>
      <c r="J317" s="797">
        <f t="shared" si="827"/>
        <v>1.021471118063384</v>
      </c>
      <c r="K317" s="797">
        <f t="shared" si="827"/>
        <v>1.0167828099059579</v>
      </c>
      <c r="L317" s="1217">
        <f t="shared" si="827"/>
        <v>1.0167828099059579</v>
      </c>
      <c r="M317" s="797">
        <f t="shared" si="827"/>
        <v>1.020481144176844</v>
      </c>
      <c r="N317" s="797">
        <f t="shared" si="827"/>
        <v>1.0205619320137538</v>
      </c>
      <c r="O317" s="797">
        <f t="shared" si="827"/>
        <v>1.0206121412015954</v>
      </c>
      <c r="P317" s="797">
        <f t="shared" si="827"/>
        <v>1.0231839120295374</v>
      </c>
      <c r="Q317" s="1217">
        <f t="shared" si="827"/>
        <v>1.0231839120295374</v>
      </c>
      <c r="R317" s="797">
        <f t="shared" si="827"/>
        <v>1.0183979332681663</v>
      </c>
      <c r="S317" s="797">
        <f t="shared" si="827"/>
        <v>1.0184224702830875</v>
      </c>
      <c r="T317" s="797">
        <f t="shared" si="827"/>
        <v>1.0184304935003079</v>
      </c>
      <c r="U317" s="797">
        <f t="shared" si="827"/>
        <v>1.019833326658951</v>
      </c>
      <c r="V317" s="1217">
        <f t="shared" si="827"/>
        <v>1.019833326658951</v>
      </c>
      <c r="W317" s="797">
        <f t="shared" si="827"/>
        <v>1.0239748822693426</v>
      </c>
      <c r="X317" s="797">
        <f t="shared" si="827"/>
        <v>1.0227253999477226</v>
      </c>
      <c r="Y317" s="797">
        <f t="shared" si="827"/>
        <v>1.0215681659501004</v>
      </c>
      <c r="Z317" s="797">
        <f t="shared" si="827"/>
        <v>1.0215235355329781</v>
      </c>
      <c r="AA317" s="1217">
        <f t="shared" si="827"/>
        <v>1.0215235355329781</v>
      </c>
      <c r="AB317" s="797">
        <f t="shared" si="827"/>
        <v>1.0202517488144542</v>
      </c>
      <c r="AC317" s="797">
        <f t="shared" si="827"/>
        <v>1.0190856590649684</v>
      </c>
      <c r="AD317" s="797">
        <f t="shared" si="827"/>
        <v>1.0182870683584742</v>
      </c>
      <c r="AE317" s="797">
        <f t="shared" si="827"/>
        <v>1.0182659705394421</v>
      </c>
      <c r="AF317" s="1217">
        <f t="shared" si="827"/>
        <v>1.0182659705394421</v>
      </c>
      <c r="AG317" s="797">
        <f t="shared" si="827"/>
        <v>1.0145028242744212</v>
      </c>
      <c r="AH317" s="797">
        <f t="shared" si="827"/>
        <v>1.0144576810940495</v>
      </c>
      <c r="AI317" s="797">
        <f t="shared" si="828" ref="AI317:BF317">(AI316+AI305)/AI305</f>
        <v>1.0122049423292618</v>
      </c>
      <c r="AJ317" s="797">
        <f t="shared" si="828"/>
        <v>1.0121811196056825</v>
      </c>
      <c r="AK317" s="1217">
        <f t="shared" si="828"/>
        <v>1.0121811196056825</v>
      </c>
      <c r="AL317" s="797">
        <f t="shared" si="828"/>
        <v>1.0122457154913287</v>
      </c>
      <c r="AM317" s="797">
        <f t="shared" si="828"/>
        <v>1.0033837356931565</v>
      </c>
      <c r="AN317" s="797">
        <f t="shared" si="828"/>
        <v>1.0034377420671752</v>
      </c>
      <c r="AO317" s="797">
        <f t="shared" si="828"/>
        <v>1.0069488481160851</v>
      </c>
      <c r="AP317" s="1217">
        <f t="shared" si="828"/>
        <v>1.0069488481160851</v>
      </c>
      <c r="AQ317" s="797">
        <f t="shared" si="828"/>
        <v>1.0082230985852487</v>
      </c>
      <c r="AR317" s="797">
        <f t="shared" si="828"/>
        <v>1.0072951342163041</v>
      </c>
      <c r="AS317" s="797">
        <f t="shared" si="828"/>
        <v>1.0047172592723628</v>
      </c>
      <c r="AT317" s="797">
        <f t="shared" si="828"/>
        <v>1.0058878251551446</v>
      </c>
      <c r="AU317" s="1217">
        <f t="shared" si="828"/>
        <v>1.0058878251551446</v>
      </c>
      <c r="AV317" s="797">
        <f t="shared" si="828"/>
        <v>1.0023500981383358</v>
      </c>
      <c r="AW317" s="797">
        <f t="shared" si="828"/>
        <v>1.0023486786562876</v>
      </c>
      <c r="AX317" s="797">
        <f t="shared" si="828"/>
        <v>1.0023490577418477</v>
      </c>
      <c r="AY317" s="797">
        <f t="shared" si="828"/>
        <v>1.0023474178403757</v>
      </c>
      <c r="AZ317" s="1217">
        <f t="shared" si="828"/>
        <v>1.0023473074728437</v>
      </c>
      <c r="BA317" s="797">
        <f t="shared" si="828"/>
        <v>1.0020898886958154</v>
      </c>
      <c r="BB317" s="797">
        <f t="shared" si="828"/>
        <v>1.0011784253879967</v>
      </c>
      <c r="BC317" s="797">
        <f t="shared" si="828"/>
        <v>1.0011885559651188</v>
      </c>
      <c r="BD317" s="864">
        <f t="shared" si="828"/>
        <v>0.99880433986844852</v>
      </c>
      <c r="BE317" s="1217">
        <f t="shared" si="828"/>
        <v>0.99880433986844852</v>
      </c>
      <c r="BF317" s="864">
        <f t="shared" si="828"/>
        <v>1.0011925012563596</v>
      </c>
      <c r="BG317" s="864">
        <f t="shared" si="829" ref="BG317">(BG316+BG305)/BG305</f>
        <v>1</v>
      </c>
      <c r="BH317" s="943">
        <f>(BH316+BH305)/BH305</f>
        <v>1</v>
      </c>
      <c r="BI317" s="1079">
        <v>1.0009999999999999</v>
      </c>
      <c r="BJ317" s="1217">
        <f ca="1">(BJ316+BJ305)/BJ305</f>
        <v>1.0009999999999999</v>
      </c>
      <c r="BK317" s="1079">
        <v>1.0009999999999999</v>
      </c>
      <c r="BL317" s="1079">
        <v>1.0009999999999999</v>
      </c>
      <c r="BM317" s="1079">
        <v>1.0009999999999999</v>
      </c>
      <c r="BN317" s="1079">
        <v>1.0009999999999999</v>
      </c>
      <c r="BO317" s="1217">
        <f ca="1">(BO316+BO305)/BO305</f>
        <v>1.0009999999999999</v>
      </c>
      <c r="BP317" s="1218">
        <v>1.0009999999999999</v>
      </c>
      <c r="BQ317" s="1218">
        <v>1.0009999999999999</v>
      </c>
      <c r="BR317" s="1218">
        <v>1.0009999999999999</v>
      </c>
      <c r="BS317" s="664"/>
    </row>
    <row r="318" spans="1:71" s="667" customFormat="1" ht="15" customHeight="1" hidden="1" outlineLevel="1">
      <c r="A318" s="781"/>
      <c r="B318" s="780"/>
      <c r="C318" s="1216"/>
      <c r="D318" s="1216"/>
      <c r="E318" s="1216"/>
      <c r="F318" s="1216"/>
      <c r="G318" s="1216"/>
      <c r="H318" s="653"/>
      <c r="I318" s="653"/>
      <c r="J318" s="653"/>
      <c r="K318" s="653"/>
      <c r="L318" s="1216"/>
      <c r="M318" s="653"/>
      <c r="N318" s="653"/>
      <c r="O318" s="653"/>
      <c r="P318" s="653"/>
      <c r="Q318" s="1216"/>
      <c r="R318" s="653"/>
      <c r="S318" s="653"/>
      <c r="T318" s="653"/>
      <c r="U318" s="653"/>
      <c r="V318" s="1216"/>
      <c r="W318" s="653"/>
      <c r="X318" s="653"/>
      <c r="Y318" s="653"/>
      <c r="Z318" s="653"/>
      <c r="AA318" s="1216"/>
      <c r="AB318" s="653"/>
      <c r="AC318" s="653"/>
      <c r="AD318" s="653"/>
      <c r="AE318" s="653"/>
      <c r="AF318" s="1216"/>
      <c r="AG318" s="653"/>
      <c r="AH318" s="653"/>
      <c r="AI318" s="653"/>
      <c r="AJ318" s="653"/>
      <c r="AK318" s="1216"/>
      <c r="AL318" s="653"/>
      <c r="AM318" s="653"/>
      <c r="AN318" s="653"/>
      <c r="AO318" s="653"/>
      <c r="AP318" s="1216"/>
      <c r="AQ318" s="653"/>
      <c r="AR318" s="653"/>
      <c r="AS318" s="653"/>
      <c r="AT318" s="653"/>
      <c r="AU318" s="1216"/>
      <c r="AV318" s="653"/>
      <c r="AW318" s="653"/>
      <c r="AX318" s="653"/>
      <c r="AY318" s="653"/>
      <c r="AZ318" s="1216"/>
      <c r="BA318" s="653"/>
      <c r="BB318" s="653"/>
      <c r="BC318" s="653"/>
      <c r="BD318" s="653"/>
      <c r="BE318" s="1216"/>
      <c r="BF318" s="653"/>
      <c r="BG318" s="653"/>
      <c r="BH318" s="895"/>
      <c r="BI318" s="653"/>
      <c r="BJ318" s="1216"/>
      <c r="BK318" s="653"/>
      <c r="BL318" s="653"/>
      <c r="BM318" s="653"/>
      <c r="BN318" s="653"/>
      <c r="BO318" s="1216"/>
      <c r="BP318" s="1216"/>
      <c r="BQ318" s="1216"/>
      <c r="BR318" s="1216"/>
      <c r="BS318" s="664"/>
    </row>
    <row r="319" spans="1:71" s="667" customFormat="1" ht="15" customHeight="1" hidden="1" outlineLevel="1">
      <c r="A319" s="781" t="s">
        <v>602</v>
      </c>
      <c r="B319" s="780"/>
      <c r="C319" s="1161">
        <f t="shared" si="830" ref="C319:AH319">C305+C316</f>
        <v>114.48634299999999</v>
      </c>
      <c r="D319" s="1161">
        <f t="shared" si="830"/>
        <v>106.468366</v>
      </c>
      <c r="E319" s="1161">
        <f t="shared" si="830"/>
        <v>99.446402000000006</v>
      </c>
      <c r="F319" s="1161">
        <f t="shared" si="830"/>
        <v>90.679303000000004</v>
      </c>
      <c r="G319" s="1161">
        <f t="shared" si="830"/>
        <v>91.413386000000003</v>
      </c>
      <c r="H319" s="971">
        <f t="shared" si="830"/>
        <v>91.588999000000001</v>
      </c>
      <c r="I319" s="971">
        <f t="shared" si="830"/>
        <v>91.618433999999993</v>
      </c>
      <c r="J319" s="971">
        <f t="shared" si="830"/>
        <v>90.390967000000003</v>
      </c>
      <c r="K319" s="971">
        <f t="shared" si="830"/>
        <v>89.180793000000008</v>
      </c>
      <c r="L319" s="1161">
        <f t="shared" si="830"/>
        <v>89.180793000000008</v>
      </c>
      <c r="M319" s="971">
        <f t="shared" si="830"/>
        <v>89.685715000000016</v>
      </c>
      <c r="N319" s="971">
        <f t="shared" si="830"/>
        <v>89.340412000000001</v>
      </c>
      <c r="O319" s="971">
        <f t="shared" si="830"/>
        <v>89.127172000000002</v>
      </c>
      <c r="P319" s="971">
        <f t="shared" si="830"/>
        <v>89.502451999999991</v>
      </c>
      <c r="Q319" s="1161">
        <f t="shared" si="830"/>
        <v>89.502451999999991</v>
      </c>
      <c r="R319" s="971">
        <f t="shared" si="830"/>
        <v>88.566289999999995</v>
      </c>
      <c r="S319" s="971">
        <f t="shared" si="830"/>
        <v>88.450459000000009</v>
      </c>
      <c r="T319" s="971">
        <f t="shared" si="830"/>
        <v>88.412650999999997</v>
      </c>
      <c r="U319" s="971">
        <f t="shared" si="830"/>
        <v>88.648398999999984</v>
      </c>
      <c r="V319" s="1161">
        <f t="shared" si="830"/>
        <v>88.648398999999984</v>
      </c>
      <c r="W319" s="971">
        <f t="shared" si="830"/>
        <v>89.691670999999999</v>
      </c>
      <c r="X319" s="971">
        <f t="shared" si="830"/>
        <v>90.007251999999994</v>
      </c>
      <c r="Y319" s="971">
        <f t="shared" si="830"/>
        <v>89.992794000000004</v>
      </c>
      <c r="Z319" s="971">
        <f t="shared" si="830"/>
        <v>90.175459999999987</v>
      </c>
      <c r="AA319" s="1161">
        <f t="shared" si="830"/>
        <v>90.175459999999987</v>
      </c>
      <c r="AB319" s="971">
        <f t="shared" si="830"/>
        <v>90.681213000000014</v>
      </c>
      <c r="AC319" s="971">
        <f t="shared" si="830"/>
        <v>90.772114000000002</v>
      </c>
      <c r="AD319" s="971">
        <f t="shared" si="830"/>
        <v>90.819708000000006</v>
      </c>
      <c r="AE319" s="971">
        <f t="shared" si="830"/>
        <v>90.922724000000002</v>
      </c>
      <c r="AF319" s="1161">
        <f t="shared" si="830"/>
        <v>90.922724000000002</v>
      </c>
      <c r="AG319" s="971">
        <f t="shared" si="830"/>
        <v>90.937713000000002</v>
      </c>
      <c r="AH319" s="971">
        <f t="shared" si="830"/>
        <v>91.217601000000002</v>
      </c>
      <c r="AI319" s="971">
        <f t="shared" si="831" ref="AI319:BJ319">AI305+AI316</f>
        <v>91.227422999999987</v>
      </c>
      <c r="AJ319" s="971">
        <f t="shared" si="831"/>
        <v>91.403685999999993</v>
      </c>
      <c r="AK319" s="1161">
        <f t="shared" si="831"/>
        <v>91.403685999999993</v>
      </c>
      <c r="AL319" s="971">
        <f t="shared" si="831"/>
        <v>90.927335999999997</v>
      </c>
      <c r="AM319" s="971">
        <f t="shared" si="831"/>
        <v>88.959406999999999</v>
      </c>
      <c r="AN319" s="971">
        <f t="shared" si="831"/>
        <v>87.566581999999997</v>
      </c>
      <c r="AO319" s="971">
        <f t="shared" si="831"/>
        <v>86.945246000000012</v>
      </c>
      <c r="AP319" s="1161">
        <f t="shared" si="831"/>
        <v>86.945246000000012</v>
      </c>
      <c r="AQ319" s="971">
        <f t="shared" si="831"/>
        <v>85.826061999999993</v>
      </c>
      <c r="AR319" s="971">
        <f t="shared" si="831"/>
        <v>85.331999999999994</v>
      </c>
      <c r="AS319" s="971">
        <f t="shared" si="831"/>
        <v>85.195</v>
      </c>
      <c r="AT319" s="971">
        <f t="shared" si="831"/>
        <v>85.421000000000035</v>
      </c>
      <c r="AU319" s="1161">
        <f t="shared" si="831"/>
        <v>85.421000000000035</v>
      </c>
      <c r="AV319" s="971">
        <f t="shared" si="831"/>
        <v>85.302829000000003</v>
      </c>
      <c r="AW319" s="971">
        <f t="shared" si="831"/>
        <v>85.354263000000003</v>
      </c>
      <c r="AX319" s="971">
        <f t="shared" si="831"/>
        <v>85.34052100000001</v>
      </c>
      <c r="AY319" s="971">
        <f t="shared" si="831"/>
        <v>85.40000000000002</v>
      </c>
      <c r="AZ319" s="1161">
        <f t="shared" si="831"/>
        <v>85.404006000000024</v>
      </c>
      <c r="BA319" s="971">
        <f t="shared" si="831"/>
        <v>85.35</v>
      </c>
      <c r="BB319" s="971">
        <f t="shared" si="831"/>
        <v>84.959000000000003</v>
      </c>
      <c r="BC319" s="971">
        <f>BC305+BC316</f>
        <v>84.235710000000012</v>
      </c>
      <c r="BD319" s="971">
        <f t="shared" si="831"/>
        <v>83.535806999999963</v>
      </c>
      <c r="BE319" s="1161">
        <f t="shared" si="831"/>
        <v>83.535806999999963</v>
      </c>
      <c r="BF319" s="971">
        <f>BF305+BF316</f>
        <v>83.957353999999995</v>
      </c>
      <c r="BG319" s="971">
        <f>BG305+BG316</f>
        <v>83.897266999999999</v>
      </c>
      <c r="BH319" s="972">
        <f>BH305+BH316</f>
        <v>83.923445999999998</v>
      </c>
      <c r="BI319" s="971">
        <f ca="1">BI305+BI316</f>
        <v>84.007369445999984</v>
      </c>
      <c r="BJ319" s="1161">
        <f t="shared" ca="1" si="831"/>
        <v>84.007369445999984</v>
      </c>
      <c r="BK319" s="971">
        <f ca="1" t="shared" si="832" ref="BK319:BR319">BK305+BK316</f>
        <v>84.007369445999984</v>
      </c>
      <c r="BL319" s="971">
        <f t="shared" ca="1" si="832"/>
        <v>84.007369445999984</v>
      </c>
      <c r="BM319" s="971">
        <f t="shared" ca="1" si="832"/>
        <v>84.007369445999984</v>
      </c>
      <c r="BN319" s="971">
        <f t="shared" ca="1" si="832"/>
        <v>84.007369445999984</v>
      </c>
      <c r="BO319" s="1161">
        <f t="shared" ca="1" si="832"/>
        <v>84.007369445999984</v>
      </c>
      <c r="BP319" s="1161">
        <f t="shared" ca="1" si="832"/>
        <v>84.007369445999984</v>
      </c>
      <c r="BQ319" s="1161">
        <f t="shared" ca="1" si="832"/>
        <v>84.007369445999984</v>
      </c>
      <c r="BR319" s="1161">
        <f t="shared" ca="1" si="832"/>
        <v>84.007369445999984</v>
      </c>
      <c r="BS319" s="664"/>
    </row>
    <row r="320" spans="1:71" s="667" customFormat="1" ht="15" customHeight="1" collapsed="1">
      <c r="A320" s="421"/>
      <c r="B320" s="500"/>
      <c r="C320" s="1161"/>
      <c r="D320" s="1161"/>
      <c r="E320" s="1161"/>
      <c r="F320" s="1161"/>
      <c r="G320" s="1161"/>
      <c r="H320" s="971"/>
      <c r="I320" s="971"/>
      <c r="J320" s="971"/>
      <c r="K320" s="971"/>
      <c r="L320" s="1161"/>
      <c r="M320" s="971"/>
      <c r="N320" s="971"/>
      <c r="O320" s="971"/>
      <c r="P320" s="971"/>
      <c r="Q320" s="1161"/>
      <c r="R320" s="971"/>
      <c r="S320" s="971"/>
      <c r="T320" s="971"/>
      <c r="U320" s="971"/>
      <c r="V320" s="1161"/>
      <c r="W320" s="971"/>
      <c r="X320" s="971"/>
      <c r="Y320" s="971"/>
      <c r="Z320" s="971"/>
      <c r="AA320" s="1161"/>
      <c r="AB320" s="971"/>
      <c r="AC320" s="971"/>
      <c r="AD320" s="971"/>
      <c r="AE320" s="971"/>
      <c r="AF320" s="1161"/>
      <c r="AG320" s="971"/>
      <c r="AH320" s="971"/>
      <c r="AI320" s="971"/>
      <c r="AJ320" s="971"/>
      <c r="AK320" s="1161"/>
      <c r="AL320" s="971"/>
      <c r="AM320" s="971"/>
      <c r="AN320" s="971"/>
      <c r="AO320" s="971"/>
      <c r="AP320" s="1161"/>
      <c r="AQ320" s="971"/>
      <c r="AR320" s="971"/>
      <c r="AS320" s="971"/>
      <c r="AT320" s="971"/>
      <c r="AU320" s="1161"/>
      <c r="AV320" s="971"/>
      <c r="AW320" s="971"/>
      <c r="AX320" s="971"/>
      <c r="AY320" s="971"/>
      <c r="AZ320" s="1161"/>
      <c r="BA320" s="971"/>
      <c r="BB320" s="971"/>
      <c r="BC320" s="971"/>
      <c r="BD320" s="971"/>
      <c r="BE320" s="1161"/>
      <c r="BF320" s="971"/>
      <c r="BG320" s="971"/>
      <c r="BH320" s="972"/>
      <c r="BI320" s="973"/>
      <c r="BJ320" s="1162"/>
      <c r="BK320" s="973"/>
      <c r="BL320" s="973"/>
      <c r="BM320" s="973"/>
      <c r="BN320" s="973"/>
      <c r="BO320" s="1162"/>
      <c r="BP320" s="1161"/>
      <c r="BQ320" s="1161"/>
      <c r="BR320" s="1162"/>
      <c r="BS320" s="664"/>
    </row>
    <row r="321" spans="1:71" s="672" customFormat="1" ht="15">
      <c r="A321" s="951" t="s">
        <v>229</v>
      </c>
      <c r="B321" s="951"/>
      <c r="C321" s="967"/>
      <c r="D321" s="967"/>
      <c r="E321" s="967"/>
      <c r="F321" s="967"/>
      <c r="G321" s="967"/>
      <c r="H321" s="967"/>
      <c r="I321" s="967"/>
      <c r="J321" s="967"/>
      <c r="K321" s="967"/>
      <c r="L321" s="967"/>
      <c r="M321" s="967"/>
      <c r="N321" s="967"/>
      <c r="O321" s="967"/>
      <c r="P321" s="967"/>
      <c r="Q321" s="967"/>
      <c r="R321" s="967"/>
      <c r="S321" s="967"/>
      <c r="T321" s="967"/>
      <c r="U321" s="967"/>
      <c r="V321" s="967"/>
      <c r="W321" s="967"/>
      <c r="X321" s="967"/>
      <c r="Y321" s="967"/>
      <c r="Z321" s="967"/>
      <c r="AA321" s="967"/>
      <c r="AB321" s="967"/>
      <c r="AC321" s="967"/>
      <c r="AD321" s="967"/>
      <c r="AE321" s="967"/>
      <c r="AF321" s="967"/>
      <c r="AG321" s="967"/>
      <c r="AH321" s="967"/>
      <c r="AI321" s="967"/>
      <c r="AJ321" s="967"/>
      <c r="AK321" s="967"/>
      <c r="AL321" s="967"/>
      <c r="AM321" s="967"/>
      <c r="AN321" s="967"/>
      <c r="AO321" s="967"/>
      <c r="AP321" s="967"/>
      <c r="AQ321" s="967"/>
      <c r="AR321" s="967"/>
      <c r="AS321" s="967"/>
      <c r="AT321" s="967"/>
      <c r="AU321" s="967"/>
      <c r="AV321" s="967"/>
      <c r="AW321" s="967"/>
      <c r="AX321" s="967"/>
      <c r="AY321" s="967"/>
      <c r="AZ321" s="967"/>
      <c r="BA321" s="967"/>
      <c r="BB321" s="967"/>
      <c r="BC321" s="967"/>
      <c r="BD321" s="967"/>
      <c r="BE321" s="967"/>
      <c r="BF321" s="967"/>
      <c r="BG321" s="967"/>
      <c r="BH321" s="968"/>
      <c r="BI321" s="969"/>
      <c r="BJ321" s="969"/>
      <c r="BK321" s="969"/>
      <c r="BL321" s="969"/>
      <c r="BM321" s="969"/>
      <c r="BN321" s="969"/>
      <c r="BO321" s="969"/>
      <c r="BP321" s="967"/>
      <c r="BQ321" s="967"/>
      <c r="BR321" s="969"/>
      <c r="BS321" s="456"/>
    </row>
    <row r="322" spans="1:71" s="673" customFormat="1" ht="15">
      <c r="A322" s="132" t="s">
        <v>230</v>
      </c>
      <c r="B322" s="417"/>
      <c r="C322" s="1140">
        <f t="shared" si="833" ref="C322:AK322">C513</f>
        <v>-60</v>
      </c>
      <c r="D322" s="1140">
        <f t="shared" si="833"/>
        <v>-63</v>
      </c>
      <c r="E322" s="1140">
        <f t="shared" si="833"/>
        <v>-67</v>
      </c>
      <c r="F322" s="1140">
        <f t="shared" si="833"/>
        <v>-90</v>
      </c>
      <c r="G322" s="1140">
        <f t="shared" si="833"/>
        <v>-160</v>
      </c>
      <c r="H322" s="288">
        <f t="shared" si="833"/>
        <v>-19</v>
      </c>
      <c r="I322" s="288">
        <f t="shared" si="833"/>
        <v>-20</v>
      </c>
      <c r="J322" s="288">
        <f t="shared" si="833"/>
        <v>-20</v>
      </c>
      <c r="K322" s="288">
        <f t="shared" si="833"/>
        <v>-108</v>
      </c>
      <c r="L322" s="1140">
        <f t="shared" si="833"/>
        <v>-167</v>
      </c>
      <c r="M322" s="288">
        <f t="shared" si="833"/>
        <v>-22</v>
      </c>
      <c r="N322" s="288">
        <f t="shared" si="833"/>
        <v>-22</v>
      </c>
      <c r="O322" s="288">
        <f t="shared" si="833"/>
        <v>-21</v>
      </c>
      <c r="P322" s="288">
        <f t="shared" si="833"/>
        <v>-111</v>
      </c>
      <c r="Q322" s="1140">
        <f t="shared" si="833"/>
        <v>-176</v>
      </c>
      <c r="R322" s="288">
        <f t="shared" si="833"/>
        <v>-24</v>
      </c>
      <c r="S322" s="288">
        <f t="shared" si="833"/>
        <v>-24</v>
      </c>
      <c r="T322" s="288">
        <f t="shared" si="833"/>
        <v>-24</v>
      </c>
      <c r="U322" s="288">
        <f t="shared" si="833"/>
        <v>-113</v>
      </c>
      <c r="V322" s="1140">
        <f t="shared" si="833"/>
        <v>-185</v>
      </c>
      <c r="W322" s="288">
        <f t="shared" si="833"/>
        <v>-27</v>
      </c>
      <c r="X322" s="288">
        <f t="shared" si="833"/>
        <v>-158</v>
      </c>
      <c r="Y322" s="288">
        <f t="shared" si="833"/>
        <v>-27</v>
      </c>
      <c r="Z322" s="288">
        <f t="shared" si="833"/>
        <v>-205</v>
      </c>
      <c r="AA322" s="1140">
        <f t="shared" si="833"/>
        <v>-417</v>
      </c>
      <c r="AB322" s="288">
        <f t="shared" si="833"/>
        <v>-31</v>
      </c>
      <c r="AC322" s="288">
        <f t="shared" si="833"/>
        <v>-163</v>
      </c>
      <c r="AD322" s="288">
        <f t="shared" si="833"/>
        <v>-31</v>
      </c>
      <c r="AE322" s="288">
        <f t="shared" si="833"/>
        <v>-169</v>
      </c>
      <c r="AF322" s="1140">
        <f t="shared" si="833"/>
        <v>-394</v>
      </c>
      <c r="AG322" s="288">
        <f t="shared" si="833"/>
        <v>-36</v>
      </c>
      <c r="AH322" s="288">
        <f t="shared" si="833"/>
        <v>-169</v>
      </c>
      <c r="AI322" s="288">
        <f t="shared" si="833"/>
        <v>-36</v>
      </c>
      <c r="AJ322" s="288">
        <f t="shared" si="833"/>
        <v>-203</v>
      </c>
      <c r="AK322" s="1140">
        <f t="shared" si="833"/>
        <v>-444</v>
      </c>
      <c r="AL322" s="288">
        <f t="shared" si="834" ref="AL322:AT322">AL513</f>
        <v>-40</v>
      </c>
      <c r="AM322" s="288">
        <f t="shared" si="834"/>
        <v>-41</v>
      </c>
      <c r="AN322" s="288">
        <f t="shared" si="834"/>
        <v>-38</v>
      </c>
      <c r="AO322" s="288">
        <f t="shared" si="834"/>
        <v>-215</v>
      </c>
      <c r="AP322" s="1140">
        <f t="shared" si="834"/>
        <v>-334</v>
      </c>
      <c r="AQ322" s="288">
        <f t="shared" si="834"/>
        <v>-43</v>
      </c>
      <c r="AR322" s="288">
        <f t="shared" si="834"/>
        <v>-1228</v>
      </c>
      <c r="AS322" s="288">
        <f t="shared" si="834"/>
        <v>-211</v>
      </c>
      <c r="AT322" s="288">
        <f t="shared" si="834"/>
        <v>-892</v>
      </c>
      <c r="AU322" s="1140">
        <f t="shared" si="835" ref="AU322:BB322">AU513</f>
        <v>-2374</v>
      </c>
      <c r="AV322" s="288">
        <f t="shared" si="835"/>
        <v>-216</v>
      </c>
      <c r="AW322" s="288">
        <f t="shared" si="835"/>
        <v>-726</v>
      </c>
      <c r="AX322" s="288">
        <f t="shared" si="835"/>
        <v>-47</v>
      </c>
      <c r="AY322" s="288">
        <f t="shared" si="835"/>
        <v>-224</v>
      </c>
      <c r="AZ322" s="1140">
        <f t="shared" si="835"/>
        <v>-1213</v>
      </c>
      <c r="BA322" s="419">
        <f t="shared" si="835"/>
        <v>-393</v>
      </c>
      <c r="BB322" s="419">
        <f t="shared" si="835"/>
        <v>-53</v>
      </c>
      <c r="BC322" s="288">
        <f t="shared" si="836" ref="BC322:BH322">BC513</f>
        <v>-52</v>
      </c>
      <c r="BD322" s="419">
        <f t="shared" si="836"/>
        <v>-186</v>
      </c>
      <c r="BE322" s="1140">
        <f t="shared" si="836"/>
        <v>-684</v>
      </c>
      <c r="BF322" s="419">
        <f t="shared" si="836"/>
        <v>-268</v>
      </c>
      <c r="BG322" s="419">
        <f t="shared" si="836"/>
        <v>-59</v>
      </c>
      <c r="BH322" s="875">
        <f t="shared" si="836"/>
        <v>-58</v>
      </c>
      <c r="BI322" s="171">
        <f ca="1">-BI323*BI300</f>
        <v>-402.8325408</v>
      </c>
      <c r="BJ322" s="1133">
        <f ca="1">BJ513</f>
        <v>-787.83254080000006</v>
      </c>
      <c r="BK322" s="171">
        <f ca="1">-BK323*BK300</f>
        <v>-67.138756799999996</v>
      </c>
      <c r="BL322" s="171">
        <f ca="1">-BL323*BL300</f>
        <v>-67.138756799999996</v>
      </c>
      <c r="BM322" s="171">
        <f ca="1">-BM323*BM300</f>
        <v>-67.138756799999996</v>
      </c>
      <c r="BN322" s="171">
        <f ca="1">-BN323*BN300</f>
        <v>-67.138756799999996</v>
      </c>
      <c r="BO322" s="1133">
        <f ca="1">BO513</f>
        <v>-268.55502719999998</v>
      </c>
      <c r="BP322" s="1131">
        <f ca="1">-BP323*BP300</f>
        <v>-268.55502719999998</v>
      </c>
      <c r="BQ322" s="1131">
        <f ca="1">-BQ323*BQ300</f>
        <v>-268.55502719999998</v>
      </c>
      <c r="BR322" s="1133">
        <f ca="1">-BR323*BR300</f>
        <v>-268.55502719999998</v>
      </c>
      <c r="BS322" s="32"/>
    </row>
    <row r="323" spans="1:71" s="686" customFormat="1" ht="15">
      <c r="A323" s="602" t="s">
        <v>231</v>
      </c>
      <c r="B323" s="520"/>
      <c r="C323" s="1219">
        <v>0.52</v>
      </c>
      <c r="D323" s="1219">
        <v>0.57499999999999996</v>
      </c>
      <c r="E323" s="1219">
        <v>0.6625</v>
      </c>
      <c r="F323" s="1219">
        <v>0.97</v>
      </c>
      <c r="G323" s="1219">
        <v>1.8050000000000002</v>
      </c>
      <c r="H323" s="1082">
        <v>0.22</v>
      </c>
      <c r="I323" s="1082">
        <v>0.22</v>
      </c>
      <c r="J323" s="1082">
        <v>0.22</v>
      </c>
      <c r="K323" s="1082">
        <v>1.25</v>
      </c>
      <c r="L323" s="1220">
        <f>SUM(H323,I323,J323,K323)</f>
        <v>1.91</v>
      </c>
      <c r="M323" s="1082">
        <v>0.25</v>
      </c>
      <c r="N323" s="1082">
        <v>0.25</v>
      </c>
      <c r="O323" s="1082">
        <v>0.25</v>
      </c>
      <c r="P323" s="1082">
        <v>1.28</v>
      </c>
      <c r="Q323" s="1220">
        <f>SUM(M323,N323,O323,P323)</f>
        <v>2.0300000000000002</v>
      </c>
      <c r="R323" s="1082">
        <v>0.28000000000000003</v>
      </c>
      <c r="S323" s="1082">
        <v>0.28000000000000003</v>
      </c>
      <c r="T323" s="1082">
        <v>0.28000000000000003</v>
      </c>
      <c r="U323" s="1082">
        <v>1.3125</v>
      </c>
      <c r="V323" s="1220">
        <f>SUM(R323,S323,T323,U323)</f>
        <v>2.1525</v>
      </c>
      <c r="W323" s="1082">
        <v>0.313</v>
      </c>
      <c r="X323" s="1082">
        <v>1.8125</v>
      </c>
      <c r="Y323" s="1082">
        <v>0.3125</v>
      </c>
      <c r="Z323" s="1082">
        <v>2.35</v>
      </c>
      <c r="AA323" s="1220">
        <f>SUM(W323,X323,Y323,Z323)</f>
        <v>4.7880000000000003</v>
      </c>
      <c r="AB323" s="1082">
        <v>0.35</v>
      </c>
      <c r="AC323" s="1082">
        <v>1.85</v>
      </c>
      <c r="AD323" s="1082">
        <v>0.35</v>
      </c>
      <c r="AE323" s="1082">
        <v>1.90</v>
      </c>
      <c r="AF323" s="1220">
        <f>SUM(AB323,AC323,AD323,AE323)</f>
        <v>4.45</v>
      </c>
      <c r="AG323" s="1082">
        <v>0.40</v>
      </c>
      <c r="AH323" s="1082">
        <v>1.90</v>
      </c>
      <c r="AI323" s="1082">
        <v>0.40</v>
      </c>
      <c r="AJ323" s="1082">
        <f>0.45+1.8</f>
        <v>2.25</v>
      </c>
      <c r="AK323" s="1220">
        <f>SUM(AG323,AH323,AI323,AJ323)</f>
        <v>4.9499999999999993</v>
      </c>
      <c r="AL323" s="1082">
        <v>0.45</v>
      </c>
      <c r="AM323" s="1082">
        <v>0.45</v>
      </c>
      <c r="AN323" s="1082">
        <v>0.45</v>
      </c>
      <c r="AO323" s="1082">
        <f>0.45+1.8</f>
        <v>2.25</v>
      </c>
      <c r="AP323" s="1220">
        <f>SUM(AL323,AM323,AN323,AO323)</f>
        <v>3.60</v>
      </c>
      <c r="AQ323" s="1082">
        <v>0.50</v>
      </c>
      <c r="AR323" s="1083">
        <v>14.50</v>
      </c>
      <c r="AS323" s="1083">
        <v>2</v>
      </c>
      <c r="AT323" s="1083">
        <v>10.56</v>
      </c>
      <c r="AU323" s="1221">
        <f>SUM(AQ323,AR323,AS323,AT323)</f>
        <v>27.56</v>
      </c>
      <c r="AV323" s="1082">
        <v>2.56</v>
      </c>
      <c r="AW323" s="1083">
        <v>8.56</v>
      </c>
      <c r="AX323" s="1083">
        <v>0.56000000000000005</v>
      </c>
      <c r="AY323" s="1083">
        <f>2+0.63</f>
        <v>2.63</v>
      </c>
      <c r="AZ323" s="1221">
        <f>SUM(AV323,AW323,AX323,AY323)</f>
        <v>14.310000000000002</v>
      </c>
      <c r="BA323" s="1083">
        <f>0.63+4</f>
        <v>4.63</v>
      </c>
      <c r="BB323" s="1083">
        <v>0.63</v>
      </c>
      <c r="BC323" s="1083">
        <v>0.63</v>
      </c>
      <c r="BD323" s="1083">
        <f>0.71+1.5</f>
        <v>2.21</v>
      </c>
      <c r="BE323" s="1221">
        <f>SUM(BA323,BB323,BC323,BD323)</f>
        <v>8.10</v>
      </c>
      <c r="BF323" s="1083">
        <f>0.71+2.5</f>
        <v>3.21</v>
      </c>
      <c r="BG323" s="1083">
        <v>0.71</v>
      </c>
      <c r="BH323" s="1084">
        <v>0.71</v>
      </c>
      <c r="BI323" s="1085">
        <f>0.8+4</f>
        <v>4.80</v>
      </c>
      <c r="BJ323" s="1222">
        <f>SUM(BF323,BG323,BH323,BI323)</f>
        <v>9.43</v>
      </c>
      <c r="BK323" s="1085">
        <v>0.80</v>
      </c>
      <c r="BL323" s="1085">
        <v>0.80</v>
      </c>
      <c r="BM323" s="1085">
        <v>0.80</v>
      </c>
      <c r="BN323" s="1085">
        <v>0.80</v>
      </c>
      <c r="BO323" s="1222">
        <f>SUM(BK323,BL323,BM323,BN323)</f>
        <v>3.20</v>
      </c>
      <c r="BP323" s="1223">
        <v>3.20</v>
      </c>
      <c r="BQ323" s="1223">
        <v>3.20</v>
      </c>
      <c r="BR323" s="1224">
        <v>3.20</v>
      </c>
      <c r="BS323" s="48"/>
    </row>
    <row r="324" spans="1:71" s="684" customFormat="1" ht="15">
      <c r="A324" s="521"/>
      <c r="B324" s="411"/>
      <c r="C324" s="1225"/>
      <c r="D324" s="1225"/>
      <c r="E324" s="1226"/>
      <c r="F324" s="1226"/>
      <c r="G324" s="1226"/>
      <c r="H324" s="522"/>
      <c r="I324" s="522"/>
      <c r="J324" s="522"/>
      <c r="K324" s="522"/>
      <c r="L324" s="1226"/>
      <c r="M324" s="522"/>
      <c r="N324" s="522"/>
      <c r="O324" s="522"/>
      <c r="P324" s="522"/>
      <c r="Q324" s="1226"/>
      <c r="R324" s="522"/>
      <c r="S324" s="522"/>
      <c r="T324" s="522"/>
      <c r="U324" s="522"/>
      <c r="V324" s="1226"/>
      <c r="W324" s="522"/>
      <c r="X324" s="522"/>
      <c r="Y324" s="522"/>
      <c r="Z324" s="522"/>
      <c r="AA324" s="1226"/>
      <c r="AB324" s="522"/>
      <c r="AC324" s="522"/>
      <c r="AD324" s="522"/>
      <c r="AE324" s="522"/>
      <c r="AF324" s="1226"/>
      <c r="AG324" s="522"/>
      <c r="AH324" s="522"/>
      <c r="AI324" s="522"/>
      <c r="AJ324" s="522"/>
      <c r="AK324" s="1226"/>
      <c r="AL324" s="522"/>
      <c r="AM324" s="522"/>
      <c r="AN324" s="522"/>
      <c r="AO324" s="522"/>
      <c r="AP324" s="1226"/>
      <c r="AQ324" s="522"/>
      <c r="AR324" s="522"/>
      <c r="AS324" s="522"/>
      <c r="AT324" s="522"/>
      <c r="AU324" s="1226"/>
      <c r="AV324" s="522"/>
      <c r="AW324" s="522"/>
      <c r="AX324" s="522"/>
      <c r="AY324" s="522"/>
      <c r="AZ324" s="1226"/>
      <c r="BA324" s="522"/>
      <c r="BB324" s="522"/>
      <c r="BC324" s="522"/>
      <c r="BD324" s="522"/>
      <c r="BE324" s="1226"/>
      <c r="BF324" s="522"/>
      <c r="BG324" s="522"/>
      <c r="BH324" s="896"/>
      <c r="BI324" s="523"/>
      <c r="BJ324" s="1227"/>
      <c r="BK324" s="523"/>
      <c r="BL324" s="523"/>
      <c r="BM324" s="523"/>
      <c r="BN324" s="523"/>
      <c r="BO324" s="1227"/>
      <c r="BP324" s="1226"/>
      <c r="BQ324" s="1226"/>
      <c r="BR324" s="1227"/>
      <c r="BS324" s="34"/>
    </row>
    <row r="325" spans="1:71" s="677" customFormat="1" ht="15">
      <c r="A325" s="66" t="s">
        <v>232</v>
      </c>
      <c r="B325" s="524"/>
      <c r="C325" s="1228">
        <f t="shared" si="837" ref="C325:AH325">-C322/C285</f>
        <v>0.11560693641618497</v>
      </c>
      <c r="D325" s="1228">
        <f t="shared" si="837"/>
        <v>0.13152400835073069</v>
      </c>
      <c r="E325" s="1229">
        <f t="shared" si="837"/>
        <v>0.195906432748538</v>
      </c>
      <c r="F325" s="1229">
        <f t="shared" si="837"/>
        <v>0.18442622950819673</v>
      </c>
      <c r="G325" s="1229">
        <f t="shared" si="837"/>
        <v>0.33970276008492567</v>
      </c>
      <c r="H325" s="317">
        <f t="shared" si="837"/>
        <v>0.18446601941747573</v>
      </c>
      <c r="I325" s="317">
        <f t="shared" si="837"/>
        <v>0.18867924528301888</v>
      </c>
      <c r="J325" s="317">
        <f t="shared" si="837"/>
        <v>0.17241379310344829</v>
      </c>
      <c r="K325" s="317">
        <f t="shared" si="837"/>
        <v>0.85039370078740162</v>
      </c>
      <c r="L325" s="1229">
        <f t="shared" si="837"/>
        <v>0.36946902654867259</v>
      </c>
      <c r="M325" s="317">
        <f t="shared" si="837"/>
        <v>1.1578947368421053</v>
      </c>
      <c r="N325" s="317">
        <f t="shared" si="837"/>
        <v>0.15602836879432624</v>
      </c>
      <c r="O325" s="317">
        <f t="shared" si="837"/>
        <v>0.33333333333333331</v>
      </c>
      <c r="P325" s="317">
        <f t="shared" si="837"/>
        <v>0.86046511627906974</v>
      </c>
      <c r="Q325" s="1229">
        <f t="shared" si="837"/>
        <v>0.50</v>
      </c>
      <c r="R325" s="317">
        <f t="shared" si="837"/>
        <v>0.23762376237623761</v>
      </c>
      <c r="S325" s="317">
        <f t="shared" si="837"/>
        <v>0.44444444444444442</v>
      </c>
      <c r="T325" s="317">
        <f t="shared" si="837"/>
        <v>0.22018348623853212</v>
      </c>
      <c r="U325" s="317">
        <f t="shared" si="837"/>
        <v>0.29350649350649349</v>
      </c>
      <c r="V325" s="1229">
        <f t="shared" si="837"/>
        <v>0.28505392912172572</v>
      </c>
      <c r="W325" s="317">
        <f t="shared" si="837"/>
        <v>0.17647058823529413</v>
      </c>
      <c r="X325" s="317">
        <f t="shared" si="837"/>
        <v>1.0896551724137931</v>
      </c>
      <c r="Y325" s="317">
        <f t="shared" si="837"/>
        <v>2.4545454545454546</v>
      </c>
      <c r="Z325" s="317">
        <f t="shared" si="837"/>
        <v>1.2349397590361446</v>
      </c>
      <c r="AA325" s="1229">
        <f t="shared" si="837"/>
        <v>0.87789473684210528</v>
      </c>
      <c r="AB325" s="317">
        <f t="shared" si="837"/>
        <v>0.21379310344827587</v>
      </c>
      <c r="AC325" s="317">
        <f t="shared" si="837"/>
        <v>0.77619047619047621</v>
      </c>
      <c r="AD325" s="317">
        <f t="shared" si="837"/>
        <v>0.15196078431372548</v>
      </c>
      <c r="AE325" s="317">
        <f t="shared" si="837"/>
        <v>-5.8275862068965516</v>
      </c>
      <c r="AF325" s="1229">
        <f t="shared" si="837"/>
        <v>0.74339622641509429</v>
      </c>
      <c r="AG325" s="317">
        <f t="shared" si="837"/>
        <v>0.10942249240121581</v>
      </c>
      <c r="AH325" s="317">
        <f t="shared" si="837"/>
        <v>0.80476190476190479</v>
      </c>
      <c r="AI325" s="317">
        <f t="shared" si="838" ref="AI325:BE325">-AI322/AI285</f>
        <v>0.24489795918367346</v>
      </c>
      <c r="AJ325" s="317">
        <f t="shared" si="838"/>
        <v>0.96208530805687209</v>
      </c>
      <c r="AK325" s="1229">
        <f t="shared" si="838"/>
        <v>0.49498327759197325</v>
      </c>
      <c r="AL325" s="317">
        <f t="shared" si="838"/>
        <v>-0.13289036544850499</v>
      </c>
      <c r="AM325" s="317">
        <f t="shared" si="838"/>
        <v>0.23163841807909605</v>
      </c>
      <c r="AN325" s="317">
        <f t="shared" si="838"/>
        <v>0.23170731707317074</v>
      </c>
      <c r="AO325" s="317">
        <f t="shared" si="838"/>
        <v>0.31069364161849711</v>
      </c>
      <c r="AP325" s="1229">
        <f t="shared" si="838"/>
        <v>0.45628415300546449</v>
      </c>
      <c r="AQ325" s="317">
        <f t="shared" si="838"/>
        <v>0.1026252983293556</v>
      </c>
      <c r="AR325" s="317">
        <f t="shared" si="838"/>
        <v>1.2255489021956087</v>
      </c>
      <c r="AS325" s="317">
        <f t="shared" si="838"/>
        <v>0.9634703196347032</v>
      </c>
      <c r="AT325" s="317">
        <f t="shared" si="838"/>
        <v>2.5126760563380284</v>
      </c>
      <c r="AU325" s="1229">
        <f t="shared" si="838"/>
        <v>1.1899749373433584</v>
      </c>
      <c r="AV325" s="317">
        <f t="shared" si="838"/>
        <v>0.7448275862068966</v>
      </c>
      <c r="AW325" s="317">
        <f t="shared" si="838"/>
        <v>4.3473053892215567</v>
      </c>
      <c r="AX325" s="317">
        <f t="shared" si="838"/>
        <v>0.28484848484848485</v>
      </c>
      <c r="AY325" s="317">
        <f t="shared" si="838"/>
        <v>0.81159420289855078</v>
      </c>
      <c r="AZ325" s="1229">
        <f t="shared" si="838"/>
        <v>1.3507795100222717</v>
      </c>
      <c r="BA325" s="775">
        <f>-BA322/BA285</f>
        <v>1.8537735849056605</v>
      </c>
      <c r="BB325" s="775">
        <f>-BB322/BB285</f>
        <v>0.265</v>
      </c>
      <c r="BC325" s="317">
        <f>-BC322/BC285</f>
        <v>0.29378531073446329</v>
      </c>
      <c r="BD325" s="775">
        <f>-BD322/BD285</f>
        <v>0.70722433460076051</v>
      </c>
      <c r="BE325" s="1229">
        <f t="shared" si="838"/>
        <v>0.80281690140845074</v>
      </c>
      <c r="BF325" s="775">
        <f t="shared" si="839" ref="BF325:BR325">-BF322/BF285</f>
        <v>1.1074380165289257</v>
      </c>
      <c r="BG325" s="775">
        <f t="shared" si="839"/>
        <v>0.28229665071770332</v>
      </c>
      <c r="BH325" s="944">
        <f>-BH322/BH285</f>
        <v>0.32044198895027626</v>
      </c>
      <c r="BI325" s="762">
        <f t="shared" ca="1" si="839"/>
        <v>1.2767744186859185</v>
      </c>
      <c r="BJ325" s="1230">
        <f t="shared" ca="1" si="839"/>
        <v>0.83147851250022609</v>
      </c>
      <c r="BK325" s="762">
        <f t="shared" ca="1" si="839"/>
        <v>0.22885977073164598</v>
      </c>
      <c r="BL325" s="762">
        <f t="shared" ca="1" si="839"/>
        <v>0.25845218164122286</v>
      </c>
      <c r="BM325" s="762">
        <f t="shared" ca="1" si="839"/>
        <v>0.23993840615408399</v>
      </c>
      <c r="BN325" s="762">
        <f t="shared" ca="1" si="839"/>
        <v>0.19911756718192145</v>
      </c>
      <c r="BO325" s="1230">
        <f t="shared" ca="1" si="839"/>
        <v>0.22950820944697101</v>
      </c>
      <c r="BP325" s="1231">
        <f t="shared" ca="1" si="839"/>
        <v>0.21268348686959931</v>
      </c>
      <c r="BQ325" s="1231">
        <f t="shared" ca="1" si="839"/>
        <v>0.17168117298438687</v>
      </c>
      <c r="BR325" s="1230">
        <f t="shared" ca="1" si="839"/>
        <v>0.16418218779016744</v>
      </c>
      <c r="BS325" s="31"/>
    </row>
    <row r="326" spans="1:71" s="667" customFormat="1" ht="15">
      <c r="A326" s="954"/>
      <c r="B326" s="500"/>
      <c r="C326" s="1161"/>
      <c r="D326" s="1161"/>
      <c r="E326" s="1161"/>
      <c r="F326" s="1161"/>
      <c r="G326" s="1161"/>
      <c r="H326" s="971"/>
      <c r="I326" s="971"/>
      <c r="J326" s="971"/>
      <c r="K326" s="971"/>
      <c r="L326" s="1161"/>
      <c r="M326" s="971"/>
      <c r="N326" s="971"/>
      <c r="O326" s="971"/>
      <c r="P326" s="971"/>
      <c r="Q326" s="1161"/>
      <c r="R326" s="971"/>
      <c r="S326" s="971"/>
      <c r="T326" s="971"/>
      <c r="U326" s="971"/>
      <c r="V326" s="1161"/>
      <c r="W326" s="971"/>
      <c r="X326" s="971"/>
      <c r="Y326" s="971"/>
      <c r="Z326" s="971"/>
      <c r="AA326" s="1161"/>
      <c r="AB326" s="971"/>
      <c r="AC326" s="971"/>
      <c r="AD326" s="971"/>
      <c r="AE326" s="971"/>
      <c r="AF326" s="1161"/>
      <c r="AG326" s="971"/>
      <c r="AH326" s="971"/>
      <c r="AI326" s="971"/>
      <c r="AJ326" s="971"/>
      <c r="AK326" s="1161"/>
      <c r="AL326" s="971"/>
      <c r="AM326" s="971"/>
      <c r="AN326" s="971"/>
      <c r="AO326" s="971"/>
      <c r="AP326" s="1161"/>
      <c r="AQ326" s="971"/>
      <c r="AR326" s="971"/>
      <c r="AS326" s="971"/>
      <c r="AT326" s="971"/>
      <c r="AU326" s="1161"/>
      <c r="AV326" s="971"/>
      <c r="AW326" s="971"/>
      <c r="AX326" s="971"/>
      <c r="AY326" s="971"/>
      <c r="AZ326" s="1161"/>
      <c r="BA326" s="971"/>
      <c r="BB326" s="971"/>
      <c r="BC326" s="971"/>
      <c r="BD326" s="971"/>
      <c r="BE326" s="1161"/>
      <c r="BF326" s="971"/>
      <c r="BG326" s="971"/>
      <c r="BH326" s="972"/>
      <c r="BI326" s="973"/>
      <c r="BJ326" s="1162"/>
      <c r="BK326" s="973"/>
      <c r="BL326" s="973"/>
      <c r="BM326" s="973"/>
      <c r="BN326" s="973"/>
      <c r="BO326" s="1162"/>
      <c r="BP326" s="1161"/>
      <c r="BQ326" s="1161"/>
      <c r="BR326" s="1162"/>
      <c r="BS326" s="664"/>
    </row>
    <row r="327" spans="1:71" s="672" customFormat="1" ht="15">
      <c r="A327" s="951" t="s">
        <v>233</v>
      </c>
      <c r="B327" s="951"/>
      <c r="C327" s="967"/>
      <c r="D327" s="967"/>
      <c r="E327" s="967"/>
      <c r="F327" s="967"/>
      <c r="G327" s="967"/>
      <c r="H327" s="967"/>
      <c r="I327" s="967"/>
      <c r="J327" s="967"/>
      <c r="K327" s="967"/>
      <c r="L327" s="967"/>
      <c r="M327" s="967"/>
      <c r="N327" s="967"/>
      <c r="O327" s="967"/>
      <c r="P327" s="967"/>
      <c r="Q327" s="967"/>
      <c r="R327" s="967"/>
      <c r="S327" s="967"/>
      <c r="T327" s="967"/>
      <c r="U327" s="967"/>
      <c r="V327" s="967"/>
      <c r="W327" s="967"/>
      <c r="X327" s="967"/>
      <c r="Y327" s="967"/>
      <c r="Z327" s="967"/>
      <c r="AA327" s="967"/>
      <c r="AB327" s="967"/>
      <c r="AC327" s="967"/>
      <c r="AD327" s="967"/>
      <c r="AE327" s="967"/>
      <c r="AF327" s="967"/>
      <c r="AG327" s="967"/>
      <c r="AH327" s="967"/>
      <c r="AI327" s="967"/>
      <c r="AJ327" s="967"/>
      <c r="AK327" s="967"/>
      <c r="AL327" s="967"/>
      <c r="AM327" s="967"/>
      <c r="AN327" s="967"/>
      <c r="AO327" s="967"/>
      <c r="AP327" s="967"/>
      <c r="AQ327" s="967"/>
      <c r="AR327" s="967"/>
      <c r="AS327" s="967"/>
      <c r="AT327" s="967"/>
      <c r="AU327" s="967"/>
      <c r="AV327" s="967"/>
      <c r="AW327" s="967"/>
      <c r="AX327" s="967"/>
      <c r="AY327" s="967"/>
      <c r="AZ327" s="967"/>
      <c r="BA327" s="967"/>
      <c r="BB327" s="967"/>
      <c r="BC327" s="967"/>
      <c r="BD327" s="967"/>
      <c r="BE327" s="967"/>
      <c r="BF327" s="967"/>
      <c r="BG327" s="967"/>
      <c r="BH327" s="968"/>
      <c r="BI327" s="969"/>
      <c r="BJ327" s="969"/>
      <c r="BK327" s="969"/>
      <c r="BL327" s="969"/>
      <c r="BM327" s="969"/>
      <c r="BN327" s="969"/>
      <c r="BO327" s="969"/>
      <c r="BP327" s="967"/>
      <c r="BQ327" s="967"/>
      <c r="BR327" s="969"/>
      <c r="BS327" s="456"/>
    </row>
    <row r="328" spans="1:71" s="673" customFormat="1" ht="15">
      <c r="A328" s="114" t="s">
        <v>234</v>
      </c>
      <c r="B328" s="417"/>
      <c r="C328" s="1140">
        <f t="shared" si="840" ref="C328:AK328">INDEX(MO_UPR_NUPR,0,COLUMN())</f>
        <v>1187</v>
      </c>
      <c r="D328" s="1140">
        <f t="shared" si="840"/>
        <v>1112</v>
      </c>
      <c r="E328" s="1140">
        <f t="shared" si="840"/>
        <v>1075</v>
      </c>
      <c r="F328" s="1140">
        <f t="shared" si="840"/>
        <v>1180</v>
      </c>
      <c r="G328" s="1140">
        <f t="shared" si="840"/>
        <v>1349</v>
      </c>
      <c r="H328" s="288">
        <f t="shared" si="840"/>
        <v>1350</v>
      </c>
      <c r="I328" s="288">
        <f t="shared" si="840"/>
        <v>1422</v>
      </c>
      <c r="J328" s="288">
        <f t="shared" si="840"/>
        <v>1527</v>
      </c>
      <c r="K328" s="288">
        <f t="shared" si="840"/>
        <v>1487</v>
      </c>
      <c r="L328" s="1140">
        <f t="shared" si="840"/>
        <v>1487</v>
      </c>
      <c r="M328" s="288">
        <f t="shared" si="840"/>
        <v>1461</v>
      </c>
      <c r="N328" s="288">
        <f t="shared" si="840"/>
        <v>1505</v>
      </c>
      <c r="O328" s="288">
        <f t="shared" si="840"/>
        <v>1634</v>
      </c>
      <c r="P328" s="288">
        <f t="shared" si="840"/>
        <v>1580</v>
      </c>
      <c r="Q328" s="1140">
        <f t="shared" si="840"/>
        <v>1580</v>
      </c>
      <c r="R328" s="288">
        <f t="shared" si="840"/>
        <v>1576</v>
      </c>
      <c r="S328" s="328">
        <f t="shared" si="840"/>
        <v>1588</v>
      </c>
      <c r="T328" s="328">
        <f t="shared" si="840"/>
        <v>1694</v>
      </c>
      <c r="U328" s="288">
        <f t="shared" si="840"/>
        <v>1632</v>
      </c>
      <c r="V328" s="1140">
        <f t="shared" si="840"/>
        <v>1632</v>
      </c>
      <c r="W328" s="288">
        <f t="shared" si="840"/>
        <v>1641</v>
      </c>
      <c r="X328" s="328">
        <f t="shared" si="840"/>
        <v>1707</v>
      </c>
      <c r="Y328" s="328">
        <f t="shared" si="840"/>
        <v>1876</v>
      </c>
      <c r="Z328" s="288">
        <f t="shared" si="840"/>
        <v>1810</v>
      </c>
      <c r="AA328" s="1140">
        <f t="shared" si="840"/>
        <v>1810</v>
      </c>
      <c r="AB328" s="288">
        <f t="shared" si="840"/>
        <v>1799</v>
      </c>
      <c r="AC328" s="328">
        <f t="shared" si="840"/>
        <v>1894</v>
      </c>
      <c r="AD328" s="328">
        <f t="shared" si="840"/>
        <v>2023</v>
      </c>
      <c r="AE328" s="288">
        <f t="shared" si="840"/>
        <v>1985</v>
      </c>
      <c r="AF328" s="1140">
        <f t="shared" si="840"/>
        <v>1985</v>
      </c>
      <c r="AG328" s="288">
        <f t="shared" si="840"/>
        <v>1969</v>
      </c>
      <c r="AH328" s="328">
        <f t="shared" si="840"/>
        <v>2032</v>
      </c>
      <c r="AI328" s="328">
        <f t="shared" si="840"/>
        <v>2205</v>
      </c>
      <c r="AJ328" s="288">
        <f t="shared" si="840"/>
        <v>2152</v>
      </c>
      <c r="AK328" s="1140">
        <f t="shared" si="840"/>
        <v>2152</v>
      </c>
      <c r="AL328" s="288">
        <f t="shared" si="841" ref="AL328:AQ328">INDEX(MO_UPR_NUPR,0,COLUMN())</f>
        <v>2100</v>
      </c>
      <c r="AM328" s="328">
        <f t="shared" si="841"/>
        <v>2045</v>
      </c>
      <c r="AN328" s="328">
        <f t="shared" si="841"/>
        <v>2153</v>
      </c>
      <c r="AO328" s="288">
        <f t="shared" si="841"/>
        <v>2035</v>
      </c>
      <c r="AP328" s="1140">
        <f t="shared" si="841"/>
        <v>2035</v>
      </c>
      <c r="AQ328" s="288">
        <f t="shared" si="841"/>
        <v>2066</v>
      </c>
      <c r="AR328" s="328">
        <f t="shared" si="842" ref="AR328:AW328">INDEX(MO_UPR_NUPR,0,COLUMN())</f>
        <v>2189</v>
      </c>
      <c r="AS328" s="328">
        <f t="shared" si="842"/>
        <v>2387</v>
      </c>
      <c r="AT328" s="288">
        <f t="shared" si="842"/>
        <v>2207</v>
      </c>
      <c r="AU328" s="1140">
        <f t="shared" si="842"/>
        <v>2207</v>
      </c>
      <c r="AV328" s="288">
        <f t="shared" si="842"/>
        <v>2273</v>
      </c>
      <c r="AW328" s="328">
        <f t="shared" si="842"/>
        <v>2391</v>
      </c>
      <c r="AX328" s="328">
        <f t="shared" si="843" ref="AX328:BJ328">INDEX(MO_UPR_NUPR,0,COLUMN())</f>
        <v>2605</v>
      </c>
      <c r="AY328" s="288">
        <f t="shared" si="843"/>
        <v>2329</v>
      </c>
      <c r="AZ328" s="1140">
        <f t="shared" si="843"/>
        <v>2329</v>
      </c>
      <c r="BA328" s="288">
        <f t="shared" si="844" ref="BA328:BI328">INDEX(MO_UPR_NUPR,0,COLUMN())</f>
        <v>2414</v>
      </c>
      <c r="BB328" s="328">
        <f t="shared" si="844"/>
        <v>2574</v>
      </c>
      <c r="BC328" s="328">
        <f t="shared" si="844"/>
        <v>2774</v>
      </c>
      <c r="BD328" s="288">
        <f t="shared" si="844"/>
        <v>2490</v>
      </c>
      <c r="BE328" s="1140">
        <f t="shared" si="844"/>
        <v>2490</v>
      </c>
      <c r="BF328" s="288">
        <f>INDEX(MO_UPR_NUPR,0,COLUMN())</f>
        <v>2572</v>
      </c>
      <c r="BG328" s="328">
        <f>INDEX(MO_UPR_NUPR,0,COLUMN())</f>
        <v>2673</v>
      </c>
      <c r="BH328" s="933">
        <f>INDEX(MO_UPR_NUPR,0,COLUMN())</f>
        <v>2974</v>
      </c>
      <c r="BI328" s="133">
        <f t="shared" si="844"/>
        <v>3144.4484000000002</v>
      </c>
      <c r="BJ328" s="1146">
        <f t="shared" si="843"/>
        <v>3144.4484000000002</v>
      </c>
      <c r="BK328" s="133">
        <f t="shared" si="845" ref="BK328:BR328">INDEX(MO_UPR_NUPR,0,COLUMN())</f>
        <v>3387.3861849999998</v>
      </c>
      <c r="BL328" s="133">
        <f t="shared" si="845"/>
        <v>3647.8207349999998</v>
      </c>
      <c r="BM328" s="133">
        <f t="shared" si="845"/>
        <v>3935.3967550000002</v>
      </c>
      <c r="BN328" s="133">
        <f t="shared" si="845"/>
        <v>4171.9416099999999</v>
      </c>
      <c r="BO328" s="1146">
        <f t="shared" si="845"/>
        <v>4171.9416099999999</v>
      </c>
      <c r="BP328" s="1144">
        <f t="shared" si="845"/>
        <v>5305.3886119999997</v>
      </c>
      <c r="BQ328" s="1144">
        <f t="shared" si="845"/>
        <v>6837.9662630000003</v>
      </c>
      <c r="BR328" s="1146">
        <f t="shared" si="845"/>
        <v>8432.5592930000003</v>
      </c>
      <c r="BS328" s="32"/>
    </row>
    <row r="329" spans="1:71" s="673" customFormat="1" ht="15">
      <c r="A329" s="115" t="s">
        <v>235</v>
      </c>
      <c r="B329" s="511"/>
      <c r="C329" s="1141">
        <f t="shared" si="846" ref="C329:AK329">INDEX(MO_LR_NLR,0,COLUMN())</f>
        <v>3133</v>
      </c>
      <c r="D329" s="1141">
        <f t="shared" si="846"/>
        <v>3449</v>
      </c>
      <c r="E329" s="1141">
        <f t="shared" si="846"/>
        <v>3578</v>
      </c>
      <c r="F329" s="1141">
        <f t="shared" si="846"/>
        <v>3095</v>
      </c>
      <c r="G329" s="1141">
        <f t="shared" si="846"/>
        <v>3253</v>
      </c>
      <c r="H329" s="39">
        <f t="shared" si="846"/>
        <v>3165</v>
      </c>
      <c r="I329" s="39">
        <f t="shared" si="846"/>
        <v>4263</v>
      </c>
      <c r="J329" s="39">
        <f t="shared" si="846"/>
        <v>4511</v>
      </c>
      <c r="K329" s="39">
        <f t="shared" si="846"/>
        <v>4634</v>
      </c>
      <c r="L329" s="1141">
        <f t="shared" si="846"/>
        <v>4634</v>
      </c>
      <c r="M329" s="39">
        <f t="shared" si="846"/>
        <v>4590</v>
      </c>
      <c r="N329" s="39">
        <f t="shared" si="846"/>
        <v>4669</v>
      </c>
      <c r="O329" s="39">
        <f t="shared" si="846"/>
        <v>4910</v>
      </c>
      <c r="P329" s="39">
        <f t="shared" si="846"/>
        <v>5491</v>
      </c>
      <c r="Q329" s="1141">
        <f t="shared" si="846"/>
        <v>5491</v>
      </c>
      <c r="R329" s="39">
        <f t="shared" si="846"/>
        <v>5547</v>
      </c>
      <c r="S329" s="102">
        <f t="shared" si="846"/>
        <v>5627</v>
      </c>
      <c r="T329" s="102">
        <f t="shared" si="846"/>
        <v>5847</v>
      </c>
      <c r="U329" s="39">
        <f t="shared" si="846"/>
        <v>5826</v>
      </c>
      <c r="V329" s="1141">
        <f t="shared" si="846"/>
        <v>5826</v>
      </c>
      <c r="W329" s="39">
        <f t="shared" si="846"/>
        <v>5886</v>
      </c>
      <c r="X329" s="102">
        <f t="shared" si="846"/>
        <v>5891</v>
      </c>
      <c r="Y329" s="102">
        <f t="shared" si="846"/>
        <v>6301</v>
      </c>
      <c r="Z329" s="39">
        <f t="shared" si="846"/>
        <v>6309</v>
      </c>
      <c r="AA329" s="1141">
        <f t="shared" si="846"/>
        <v>6309</v>
      </c>
      <c r="AB329" s="39">
        <f t="shared" si="846"/>
        <v>6020</v>
      </c>
      <c r="AC329" s="102">
        <f t="shared" si="846"/>
        <v>6020</v>
      </c>
      <c r="AD329" s="102">
        <f t="shared" si="846"/>
        <v>6318</v>
      </c>
      <c r="AE329" s="39">
        <f t="shared" si="846"/>
        <v>6392</v>
      </c>
      <c r="AF329" s="1141">
        <f t="shared" si="846"/>
        <v>6392</v>
      </c>
      <c r="AG329" s="39">
        <f t="shared" si="846"/>
        <v>6365</v>
      </c>
      <c r="AH329" s="102">
        <f t="shared" si="846"/>
        <v>6427</v>
      </c>
      <c r="AI329" s="102">
        <f t="shared" si="846"/>
        <v>6586</v>
      </c>
      <c r="AJ329" s="39">
        <f t="shared" si="846"/>
        <v>6817</v>
      </c>
      <c r="AK329" s="1141">
        <f t="shared" si="846"/>
        <v>6817</v>
      </c>
      <c r="AL329" s="39">
        <f t="shared" si="847" ref="AL329:AQ329">INDEX(MO_LR_NLR,0,COLUMN())</f>
        <v>6719</v>
      </c>
      <c r="AM329" s="102">
        <f t="shared" si="847"/>
        <v>6845</v>
      </c>
      <c r="AN329" s="102">
        <f t="shared" si="847"/>
        <v>6935</v>
      </c>
      <c r="AO329" s="39">
        <f t="shared" si="847"/>
        <v>300</v>
      </c>
      <c r="AP329" s="1141">
        <f t="shared" si="847"/>
        <v>300</v>
      </c>
      <c r="AQ329" s="39">
        <f t="shared" si="847"/>
        <v>7153</v>
      </c>
      <c r="AR329" s="102">
        <f t="shared" si="848" ref="AR329:AW329">INDEX(MO_LR_NLR,0,COLUMN())</f>
        <v>7168</v>
      </c>
      <c r="AS329" s="102">
        <f t="shared" si="848"/>
        <v>7468</v>
      </c>
      <c r="AT329" s="39">
        <f t="shared" si="848"/>
        <v>7555</v>
      </c>
      <c r="AU329" s="1141">
        <f t="shared" si="848"/>
        <v>7555</v>
      </c>
      <c r="AV329" s="39">
        <f t="shared" si="848"/>
        <v>7508</v>
      </c>
      <c r="AW329" s="102">
        <f t="shared" si="848"/>
        <v>7634</v>
      </c>
      <c r="AX329" s="102">
        <f t="shared" si="849" ref="AX329:BJ329">INDEX(MO_LR_NLR,0,COLUMN())</f>
        <v>7959</v>
      </c>
      <c r="AY329" s="39">
        <f t="shared" si="849"/>
        <v>7997</v>
      </c>
      <c r="AZ329" s="1141">
        <f t="shared" si="849"/>
        <v>7997</v>
      </c>
      <c r="BA329" s="39">
        <f t="shared" si="850" ref="BA329:BI329">INDEX(MO_LR_NLR,0,COLUMN())</f>
        <v>7923</v>
      </c>
      <c r="BB329" s="102">
        <f t="shared" si="850"/>
        <v>8073</v>
      </c>
      <c r="BC329" s="102">
        <f t="shared" si="850"/>
        <v>8470</v>
      </c>
      <c r="BD329" s="39">
        <f t="shared" si="850"/>
        <v>8610</v>
      </c>
      <c r="BE329" s="1141">
        <f t="shared" si="850"/>
        <v>8610</v>
      </c>
      <c r="BF329" s="39">
        <f>INDEX(MO_LR_NLR,0,COLUMN())</f>
        <v>8540</v>
      </c>
      <c r="BG329" s="102">
        <f>INDEX(MO_LR_NLR,0,COLUMN())</f>
        <v>8450</v>
      </c>
      <c r="BH329" s="934">
        <f>INDEX(MO_LR_NLR,0,COLUMN())</f>
        <v>8989</v>
      </c>
      <c r="BI329" s="136">
        <f t="shared" si="850"/>
        <v>9075.2101180000009</v>
      </c>
      <c r="BJ329" s="1149">
        <f t="shared" si="849"/>
        <v>9075.2101180000009</v>
      </c>
      <c r="BK329" s="136">
        <f t="shared" si="851" ref="BK329:BR329">INDEX(MO_LR_NLR,0,COLUMN())</f>
        <v>9160.1398430000008</v>
      </c>
      <c r="BL329" s="136">
        <f t="shared" si="851"/>
        <v>9251.0885310000012</v>
      </c>
      <c r="BM329" s="136">
        <f t="shared" si="851"/>
        <v>9350.9020670000009</v>
      </c>
      <c r="BN329" s="136">
        <f t="shared" si="851"/>
        <v>9434.4948970000005</v>
      </c>
      <c r="BO329" s="1149">
        <f t="shared" si="851"/>
        <v>9434.4948970000005</v>
      </c>
      <c r="BP329" s="1149">
        <f t="shared" si="851"/>
        <v>9857.5007160000005</v>
      </c>
      <c r="BQ329" s="1149">
        <f t="shared" si="851"/>
        <v>10408.984911</v>
      </c>
      <c r="BR329" s="1149">
        <f t="shared" si="851"/>
        <v>10989.100946999999</v>
      </c>
      <c r="BS329" s="32"/>
    </row>
    <row r="330" spans="1:71" s="674" customFormat="1" ht="15">
      <c r="A330" s="101" t="s">
        <v>236</v>
      </c>
      <c r="B330" s="509"/>
      <c r="C330" s="1180">
        <f t="shared" si="852" ref="C330:AK330">ROUND(INDEX(MO_BSS_NUPR,0,COLUMN())+INDEX(MO_BSS_NLR,0,COLUMN()),6)</f>
        <v>4320</v>
      </c>
      <c r="D330" s="1180">
        <f t="shared" si="852"/>
        <v>4561</v>
      </c>
      <c r="E330" s="1180">
        <f t="shared" si="852"/>
        <v>4653</v>
      </c>
      <c r="F330" s="1180">
        <f t="shared" si="852"/>
        <v>4275</v>
      </c>
      <c r="G330" s="1180">
        <f t="shared" si="852"/>
        <v>4602</v>
      </c>
      <c r="H330" s="287">
        <f t="shared" si="852"/>
        <v>4515</v>
      </c>
      <c r="I330" s="287">
        <f t="shared" si="852"/>
        <v>5685</v>
      </c>
      <c r="J330" s="287">
        <f t="shared" si="852"/>
        <v>6038</v>
      </c>
      <c r="K330" s="287">
        <f t="shared" si="852"/>
        <v>6121</v>
      </c>
      <c r="L330" s="1180">
        <f t="shared" si="852"/>
        <v>6121</v>
      </c>
      <c r="M330" s="287">
        <f t="shared" si="852"/>
        <v>6051</v>
      </c>
      <c r="N330" s="287">
        <f t="shared" si="852"/>
        <v>6174</v>
      </c>
      <c r="O330" s="287">
        <f t="shared" si="852"/>
        <v>6544</v>
      </c>
      <c r="P330" s="287">
        <f t="shared" si="852"/>
        <v>7071</v>
      </c>
      <c r="Q330" s="1180">
        <f t="shared" si="852"/>
        <v>7071</v>
      </c>
      <c r="R330" s="287">
        <f t="shared" si="852"/>
        <v>7123</v>
      </c>
      <c r="S330" s="329">
        <f t="shared" si="852"/>
        <v>7215</v>
      </c>
      <c r="T330" s="329">
        <f t="shared" si="852"/>
        <v>7541</v>
      </c>
      <c r="U330" s="287">
        <f t="shared" si="852"/>
        <v>7458</v>
      </c>
      <c r="V330" s="1180">
        <f t="shared" si="852"/>
        <v>7458</v>
      </c>
      <c r="W330" s="287">
        <f t="shared" si="852"/>
        <v>7527</v>
      </c>
      <c r="X330" s="329">
        <f t="shared" si="852"/>
        <v>7598</v>
      </c>
      <c r="Y330" s="329">
        <f t="shared" si="852"/>
        <v>8177</v>
      </c>
      <c r="Z330" s="287">
        <f t="shared" si="852"/>
        <v>8119</v>
      </c>
      <c r="AA330" s="1180">
        <f t="shared" si="852"/>
        <v>8119</v>
      </c>
      <c r="AB330" s="287">
        <f t="shared" si="852"/>
        <v>7819</v>
      </c>
      <c r="AC330" s="329">
        <f t="shared" si="852"/>
        <v>7914</v>
      </c>
      <c r="AD330" s="329">
        <f t="shared" si="852"/>
        <v>8341</v>
      </c>
      <c r="AE330" s="287">
        <f t="shared" si="852"/>
        <v>8377</v>
      </c>
      <c r="AF330" s="1180">
        <f t="shared" si="852"/>
        <v>8377</v>
      </c>
      <c r="AG330" s="287">
        <f t="shared" si="852"/>
        <v>8334</v>
      </c>
      <c r="AH330" s="329">
        <f t="shared" si="852"/>
        <v>8459</v>
      </c>
      <c r="AI330" s="329">
        <f t="shared" si="852"/>
        <v>8791</v>
      </c>
      <c r="AJ330" s="287">
        <f t="shared" si="852"/>
        <v>8969</v>
      </c>
      <c r="AK330" s="1180">
        <f t="shared" si="852"/>
        <v>8969</v>
      </c>
      <c r="AL330" s="287">
        <f t="shared" si="853" ref="AL330:AQ330">ROUND(INDEX(MO_BSS_NUPR,0,COLUMN())+INDEX(MO_BSS_NLR,0,COLUMN()),6)</f>
        <v>8819</v>
      </c>
      <c r="AM330" s="329">
        <f t="shared" si="853"/>
        <v>8890</v>
      </c>
      <c r="AN330" s="329">
        <f t="shared" si="853"/>
        <v>9088</v>
      </c>
      <c r="AO330" s="287">
        <f t="shared" si="853"/>
        <v>2335</v>
      </c>
      <c r="AP330" s="1180">
        <f t="shared" si="853"/>
        <v>2335</v>
      </c>
      <c r="AQ330" s="287">
        <f t="shared" si="853"/>
        <v>9219</v>
      </c>
      <c r="AR330" s="329">
        <f t="shared" si="854" ref="AR330:AW330">ROUND(INDEX(MO_BSS_NUPR,0,COLUMN())+INDEX(MO_BSS_NLR,0,COLUMN()),6)</f>
        <v>9357</v>
      </c>
      <c r="AS330" s="329">
        <f t="shared" si="854"/>
        <v>9855</v>
      </c>
      <c r="AT330" s="287">
        <f t="shared" si="854"/>
        <v>9762</v>
      </c>
      <c r="AU330" s="1180">
        <f t="shared" si="854"/>
        <v>9762</v>
      </c>
      <c r="AV330" s="287">
        <f t="shared" si="854"/>
        <v>9781</v>
      </c>
      <c r="AW330" s="329">
        <f t="shared" si="854"/>
        <v>10025</v>
      </c>
      <c r="AX330" s="329">
        <f t="shared" si="855" ref="AX330:BJ330">ROUND(INDEX(MO_BSS_NUPR,0,COLUMN())+INDEX(MO_BSS_NLR,0,COLUMN()),6)</f>
        <v>10564</v>
      </c>
      <c r="AY330" s="287">
        <f t="shared" si="855"/>
        <v>10326</v>
      </c>
      <c r="AZ330" s="1180">
        <f t="shared" si="855"/>
        <v>10326</v>
      </c>
      <c r="BA330" s="287">
        <f t="shared" si="856" ref="BA330:BI330">ROUND(INDEX(MO_BSS_NUPR,0,COLUMN())+INDEX(MO_BSS_NLR,0,COLUMN()),6)</f>
        <v>10337</v>
      </c>
      <c r="BB330" s="329">
        <f t="shared" si="856"/>
        <v>10647</v>
      </c>
      <c r="BC330" s="329">
        <f t="shared" si="856"/>
        <v>11244</v>
      </c>
      <c r="BD330" s="287">
        <f t="shared" si="856"/>
        <v>11100</v>
      </c>
      <c r="BE330" s="1180">
        <f t="shared" si="856"/>
        <v>11100</v>
      </c>
      <c r="BF330" s="287">
        <f>ROUND(INDEX(MO_BSS_NUPR,0,COLUMN())+INDEX(MO_BSS_NLR,0,COLUMN()),6)</f>
        <v>11112</v>
      </c>
      <c r="BG330" s="329">
        <f>ROUND(INDEX(MO_BSS_NUPR,0,COLUMN())+INDEX(MO_BSS_NLR,0,COLUMN()),6)</f>
        <v>11123</v>
      </c>
      <c r="BH330" s="935">
        <f>ROUND(INDEX(MO_BSS_NUPR,0,COLUMN())+INDEX(MO_BSS_NLR,0,COLUMN()),6)</f>
        <v>11963</v>
      </c>
      <c r="BI330" s="138">
        <f t="shared" si="856"/>
        <v>12219.658518</v>
      </c>
      <c r="BJ330" s="1232">
        <f t="shared" si="855"/>
        <v>12219.658518</v>
      </c>
      <c r="BK330" s="138">
        <f t="shared" si="857" ref="BK330:BR330">ROUND(INDEX(MO_BSS_NUPR,0,COLUMN())+INDEX(MO_BSS_NLR,0,COLUMN()),6)</f>
        <v>12547.526028</v>
      </c>
      <c r="BL330" s="138">
        <f t="shared" si="857"/>
        <v>12898.909266000001</v>
      </c>
      <c r="BM330" s="138">
        <f t="shared" si="857"/>
        <v>13286.298822000001</v>
      </c>
      <c r="BN330" s="138">
        <f t="shared" si="857"/>
        <v>13606.436507</v>
      </c>
      <c r="BO330" s="1232">
        <f t="shared" si="857"/>
        <v>13606.436507</v>
      </c>
      <c r="BP330" s="1233">
        <f t="shared" si="857"/>
        <v>15162.889327999999</v>
      </c>
      <c r="BQ330" s="1233">
        <f t="shared" si="857"/>
        <v>17246.951174000002</v>
      </c>
      <c r="BR330" s="1232">
        <f t="shared" si="857"/>
        <v>19421.660240000001</v>
      </c>
      <c r="BS330" s="37"/>
    </row>
    <row r="331" spans="1:71" s="683" customFormat="1" ht="15">
      <c r="A331" s="525"/>
      <c r="B331" s="525"/>
      <c r="C331" s="1234"/>
      <c r="D331" s="1234"/>
      <c r="E331" s="1234"/>
      <c r="F331" s="1234"/>
      <c r="G331" s="1234"/>
      <c r="H331" s="987"/>
      <c r="I331" s="987"/>
      <c r="J331" s="987"/>
      <c r="K331" s="987"/>
      <c r="L331" s="1234"/>
      <c r="M331" s="987"/>
      <c r="N331" s="987"/>
      <c r="O331" s="987"/>
      <c r="P331" s="987"/>
      <c r="Q331" s="1234"/>
      <c r="R331" s="987"/>
      <c r="S331" s="988"/>
      <c r="T331" s="988"/>
      <c r="U331" s="987"/>
      <c r="V331" s="1234"/>
      <c r="W331" s="987"/>
      <c r="X331" s="988"/>
      <c r="Y331" s="988"/>
      <c r="Z331" s="987"/>
      <c r="AA331" s="1234"/>
      <c r="AB331" s="987"/>
      <c r="AC331" s="988"/>
      <c r="AD331" s="988"/>
      <c r="AE331" s="987"/>
      <c r="AF331" s="1234"/>
      <c r="AG331" s="987"/>
      <c r="AH331" s="988"/>
      <c r="AI331" s="988"/>
      <c r="AJ331" s="987"/>
      <c r="AK331" s="1234"/>
      <c r="AL331" s="987"/>
      <c r="AM331" s="988"/>
      <c r="AN331" s="988"/>
      <c r="AO331" s="987"/>
      <c r="AP331" s="1234"/>
      <c r="AQ331" s="987"/>
      <c r="AR331" s="988"/>
      <c r="AS331" s="988"/>
      <c r="AT331" s="987"/>
      <c r="AU331" s="1234"/>
      <c r="AV331" s="987"/>
      <c r="AW331" s="988"/>
      <c r="AX331" s="988"/>
      <c r="AY331" s="987"/>
      <c r="AZ331" s="1234"/>
      <c r="BA331" s="987"/>
      <c r="BB331" s="988"/>
      <c r="BC331" s="988"/>
      <c r="BD331" s="987"/>
      <c r="BE331" s="1234"/>
      <c r="BF331" s="987"/>
      <c r="BG331" s="988"/>
      <c r="BH331" s="989"/>
      <c r="BI331" s="990"/>
      <c r="BJ331" s="1235"/>
      <c r="BK331" s="990"/>
      <c r="BL331" s="990"/>
      <c r="BM331" s="990"/>
      <c r="BN331" s="990"/>
      <c r="BO331" s="1235"/>
      <c r="BP331" s="1236"/>
      <c r="BQ331" s="1236"/>
      <c r="BR331" s="1235"/>
      <c r="BS331" s="28"/>
    </row>
    <row r="332" spans="1:71" s="677" customFormat="1" ht="15">
      <c r="A332" s="24" t="s">
        <v>476</v>
      </c>
      <c r="B332" s="524"/>
      <c r="C332" s="1177"/>
      <c r="D332" s="1177"/>
      <c r="E332" s="1183">
        <f>INDEX(MO_BSS_NTR,0,COLUMN())/INDEX(MO_UI_NWP,0,COLUMN())/(E$3/E$3)</f>
        <v>1.6797833935018049</v>
      </c>
      <c r="F332" s="1183">
        <f>INDEX(MO_BSS_NTR,0,COLUMN())/INDEX(MO_UI_NWP,0,COLUMN())/(F$3/F$3)</f>
        <v>1.4496439471007121</v>
      </c>
      <c r="G332" s="1183">
        <f>INDEX(MO_BSS_NTR,0,COLUMN())/INDEX(MO_UI_NWP,0,COLUMN())/(G$3/G$3)</f>
        <v>1.377431906614786</v>
      </c>
      <c r="H332" s="785">
        <f>INDEX(MO_BSS_NTR,0,COLUMN())/INDEX(MO_UI_NWP,0,COLUMN())/(L$3/H$3)</f>
        <v>1.4745532069309626</v>
      </c>
      <c r="I332" s="785">
        <f>INDEX(MO_BSS_NTR,0,COLUMN())/INDEX(MO_UI_NWP,0,COLUMN())/(L$3/I$3)</f>
        <v>1.4201965574985589</v>
      </c>
      <c r="J332" s="785">
        <f>INDEX(MO_BSS_NTR,0,COLUMN())/INDEX(MO_UI_NWP,0,COLUMN())/(L$3/J$3)</f>
        <v>1.2253678335870117</v>
      </c>
      <c r="K332" s="785">
        <f>INDEX(MO_BSS_NTR,0,COLUMN())/INDEX(MO_UI_NWP,0,COLUMN())/(L$3/K$3)</f>
        <v>1.5051974607417307</v>
      </c>
      <c r="L332" s="1183">
        <f>INDEX(MO_BSS_NTR,0,COLUMN())/INDEX(MO_UI_NWP,0,COLUMN())/(L$3/L$3)</f>
        <v>1.522636815920398</v>
      </c>
      <c r="M332" s="785">
        <f>INDEX(MO_BSS_NTR,0,COLUMN())/INDEX(MO_UI_NWP,0,COLUMN())/(Q$3/M$3)</f>
        <v>1.6112606881860412</v>
      </c>
      <c r="N332" s="785">
        <f>INDEX(MO_BSS_NTR,0,COLUMN())/INDEX(MO_UI_NWP,0,COLUMN())/(Q$3/N$3)</f>
        <v>1.5002643595289593</v>
      </c>
      <c r="O332" s="785">
        <f>INDEX(MO_BSS_NTR,0,COLUMN())/INDEX(MO_UI_NWP,0,COLUMN())/(Q$3/O$3)</f>
        <v>1.2505281086751068</v>
      </c>
      <c r="P332" s="785">
        <f>INDEX(MO_BSS_NTR,0,COLUMN())/INDEX(MO_UI_NWP,0,COLUMN())/(Q$3/P$3)</f>
        <v>1.6877646326276463</v>
      </c>
      <c r="Q332" s="1183">
        <f>INDEX(MO_BSS_NTR,0,COLUMN())/INDEX(MO_UI_NWP,0,COLUMN())/(Q$3/Q$3)</f>
        <v>1.6341576149757338</v>
      </c>
      <c r="R332" s="785">
        <f>INDEX(MO_BSS_NTR,0,COLUMN())/INDEX(MO_UI_NWP,0,COLUMN())/(V$3/R$3)</f>
        <v>1.8090082999826966</v>
      </c>
      <c r="S332" s="785">
        <f>INDEX(MO_BSS_NTR,0,COLUMN())/INDEX(MO_UI_NWP,0,COLUMN())/(V$3/S$3)</f>
        <v>1.6987627297565822</v>
      </c>
      <c r="T332" s="785">
        <f>INDEX(MO_BSS_NTR,0,COLUMN())/INDEX(MO_UI_NWP,0,COLUMN())/(V$3/T$3)</f>
        <v>1.4949147575459827</v>
      </c>
      <c r="U332" s="785">
        <f>INDEX(MO_BSS_NTR,0,COLUMN())/INDEX(MO_UI_NWP,0,COLUMN())/(V$3/U$3)</f>
        <v>1.7310143348016289</v>
      </c>
      <c r="V332" s="1183">
        <f>INDEX(MO_BSS_NTR,0,COLUMN())/INDEX(MO_UI_NWP,0,COLUMN())/(V$3/V$3)</f>
        <v>1.7004103967168263</v>
      </c>
      <c r="W332" s="785">
        <f>INDEX(MO_BSS_NTR,0,COLUMN())/INDEX(MO_UI_NWP,0,COLUMN())/(AA$3/W$3)</f>
        <v>1.8071787757933069</v>
      </c>
      <c r="X332" s="785">
        <f>INDEX(MO_BSS_NTR,0,COLUMN())/INDEX(MO_UI_NWP,0,COLUMN())/(AA$3/X$3)</f>
        <v>1.6763680446114682</v>
      </c>
      <c r="Y332" s="785">
        <f>INDEX(MO_BSS_NTR,0,COLUMN())/INDEX(MO_UI_NWP,0,COLUMN())/(AA$3/Y$3)</f>
        <v>1.4382777772466997</v>
      </c>
      <c r="Z332" s="785">
        <f>INDEX(MO_BSS_NTR,0,COLUMN())/INDEX(MO_UI_NWP,0,COLUMN())/(AA$3/Z$3)</f>
        <v>1.7626467499675529</v>
      </c>
      <c r="AA332" s="1183">
        <f>INDEX(MO_BSS_NTR,0,COLUMN())/INDEX(MO_UI_NWP,0,COLUMN())/(AA$3/AA$3)</f>
        <v>1.7089033887602609</v>
      </c>
      <c r="AB332" s="785">
        <f>INDEX(MO_BSS_NTR,0,COLUMN())/INDEX(MO_UI_NWP,0,COLUMN())/(AF$3/AB$3)</f>
        <v>1.7495214180941254</v>
      </c>
      <c r="AC332" s="785">
        <f>INDEX(MO_BSS_NTR,0,COLUMN())/INDEX(MO_UI_NWP,0,COLUMN())/(AF$3/AC$3)</f>
        <v>1.5696733906561613</v>
      </c>
      <c r="AD332" s="785">
        <f>INDEX(MO_BSS_NTR,0,COLUMN())/INDEX(MO_UI_NWP,0,COLUMN())/(AF$3/AD$3)</f>
        <v>1.4439485172361883</v>
      </c>
      <c r="AE332" s="785">
        <f>INDEX(MO_BSS_NTR,0,COLUMN())/INDEX(MO_UI_NWP,0,COLUMN())/(AF$3/AE$3)</f>
        <v>1.7478998457770116</v>
      </c>
      <c r="AF332" s="1183">
        <f>INDEX(MO_BSS_NTR,0,COLUMN())/INDEX(MO_UI_NWP,0,COLUMN())/(AF$3/AF$3)</f>
        <v>1.6677284491339837</v>
      </c>
      <c r="AG332" s="785">
        <f>INDEX(MO_BSS_NTR,0,COLUMN())/INDEX(MO_UI_NWP,0,COLUMN())/(AK$3/AG$3)</f>
        <v>1.7915945109935389</v>
      </c>
      <c r="AH332" s="785">
        <f>INDEX(MO_BSS_NTR,0,COLUMN())/INDEX(MO_UI_NWP,0,COLUMN())/(AK$3/AH$3)</f>
        <v>1.668477978151552</v>
      </c>
      <c r="AI332" s="785">
        <f>INDEX(MO_BSS_NTR,0,COLUMN())/INDEX(MO_UI_NWP,0,COLUMN())/(AK$3/AI$3)</f>
        <v>1.3694769460013205</v>
      </c>
      <c r="AJ332" s="785">
        <f>INDEX(MO_BSS_NTR,0,COLUMN())/INDEX(MO_UI_NWP,0,COLUMN())/(AK$3/AJ$3)</f>
        <v>1.7217665286022807</v>
      </c>
      <c r="AK332" s="1183">
        <f>INDEX(MO_BSS_NTR,0,COLUMN())/INDEX(MO_UI_NWP,0,COLUMN())/(AK$3/AK$3)</f>
        <v>1.6789591913141146</v>
      </c>
      <c r="AL332" s="785">
        <f>INDEX(MO_BSS_NTR,0,COLUMN())/INDEX(MO_UI_NWP,0,COLUMN())/(AP$3/AL$3)</f>
        <v>1.8837647644264173</v>
      </c>
      <c r="AM332" s="785">
        <f>INDEX(MO_BSS_NTR,0,COLUMN())/INDEX(MO_UI_NWP,0,COLUMN())/(AP$3/AM$3)</f>
        <v>1.9543370391307078</v>
      </c>
      <c r="AN332" s="785">
        <f>INDEX(MO_BSS_NTR,0,COLUMN())/INDEX(MO_UI_NWP,0,COLUMN())/(AP$3/AN$3)</f>
        <v>1.5341942918377758</v>
      </c>
      <c r="AO332" s="785">
        <f>INDEX(MO_BSS_NTR,0,COLUMN())/INDEX(MO_UI_NWP,0,COLUMN())/(AP$3/AO$3)</f>
        <v>0.47757517551699147</v>
      </c>
      <c r="AP332" s="1183">
        <f>INDEX(MO_BSS_NTR,0,COLUMN())/INDEX(MO_UI_NWP,0,COLUMN())/(AP$3/AP$3)</f>
        <v>0.46578894873329346</v>
      </c>
      <c r="AQ332" s="785">
        <f>INDEX(MO_BSS_NTR,0,COLUMN())/INDEX(MO_UI_NWP,0,COLUMN())/(AU$3/AQ$3)</f>
        <v>1.8864548399931793</v>
      </c>
      <c r="AR332" s="785">
        <f>INDEX(MO_BSS_NTR,0,COLUMN())/INDEX(MO_UI_NWP,0,COLUMN())/(AU$3/AR$3)</f>
        <v>1.7040475499564727</v>
      </c>
      <c r="AS332" s="785">
        <f>INDEX(MO_BSS_NTR,0,COLUMN())/INDEX(MO_UI_NWP,0,COLUMN())/(AU$3/AS$3)</f>
        <v>1.4366685945633313</v>
      </c>
      <c r="AT332" s="785">
        <f>INDEX(MO_BSS_NTR,0,COLUMN())/INDEX(MO_UI_NWP,0,COLUMN())/(AU$3/AT$3)</f>
        <v>1.9374479559918025</v>
      </c>
      <c r="AU332" s="1183">
        <f>INDEX(MO_BSS_NTR,0,COLUMN())/INDEX(MO_UI_NWP,0,COLUMN())/(AU$3/AU$3)</f>
        <v>1.7516597882648484</v>
      </c>
      <c r="AV332" s="785">
        <f>INDEX(MO_BSS_NTR,0,COLUMN())/INDEX(MO_UI_NWP,0,COLUMN())/(AZ$3/AV$3)</f>
        <v>1.7629776496034608</v>
      </c>
      <c r="AW332" s="785">
        <f>INDEX(MO_BSS_NTR,0,COLUMN())/INDEX(MO_UI_NWP,0,COLUMN())/(AZ$3/AW$3)</f>
        <v>1.6486698955434274</v>
      </c>
      <c r="AX332" s="785">
        <f>INDEX(MO_BSS_NTR,0,COLUMN())/INDEX(MO_UI_NWP,0,COLUMN())/(AZ$3/AX$3)</f>
        <v>1.3420901458241272</v>
      </c>
      <c r="AY332" s="785">
        <f>INDEX(MO_BSS_NTR,0,COLUMN())/INDEX(MO_UI_NWP,0,COLUMN())/(AZ$3/AY$3)</f>
        <v>1.9452300509859328</v>
      </c>
      <c r="AZ332" s="1183">
        <f>INDEX(MO_BSS_NTR,0,COLUMN())/INDEX(MO_UI_NWP,0,COLUMN())/(AZ$3/AZ$3)</f>
        <v>1.6638736706413149</v>
      </c>
      <c r="BA332" s="785">
        <f>INDEX(MO_BSS_NTR,0,COLUMN())/INDEX(MO_UI_NWP,0,COLUMN())/(BE$3/BA$3)</f>
        <v>1.6779784825994031</v>
      </c>
      <c r="BB332" s="785">
        <f>INDEX(MO_BSS_NTR,0,COLUMN())/INDEX(MO_UI_NWP,0,COLUMN())/(BE$3/BB$3)</f>
        <v>1.5923560493380775</v>
      </c>
      <c r="BC332" s="785">
        <f>INDEX(MO_BSS_NTR,0,COLUMN())/INDEX(MO_UI_NWP,0,COLUMN())/(BE$3/BC$3)</f>
        <v>1.3751111642838627</v>
      </c>
      <c r="BD332" s="785">
        <f>INDEX(MO_BSS_NTR,0,COLUMN())/INDEX(MO_UI_NWP,0,COLUMN())/(BE$3/BD$3)</f>
        <v>1.936199459638811</v>
      </c>
      <c r="BE332" s="1183">
        <f>INDEX(MO_BSS_NTR,0,COLUMN())/INDEX(MO_UI_NWP,0,COLUMN())/(BE$3/BE$3)</f>
        <v>1.6586969515839809</v>
      </c>
      <c r="BF332" s="785">
        <f>INDEX(MO_BSS_NTR,0,COLUMN())/INDEX(MO_UI_NWP,0,COLUMN())/(BJ$3/BF$3)</f>
        <v>1.6908321126873609</v>
      </c>
      <c r="BG332" s="785">
        <f>INDEX(MO_BSS_NTR,0,COLUMN())/INDEX(MO_UI_NWP,0,COLUMN())/(BJ$3/BG$3)</f>
        <v>1.6344885607616686</v>
      </c>
      <c r="BH332" s="889">
        <f>INDEX(MO_BSS_NTR,0,COLUMN())/INDEX(MO_UI_NWP,0,COLUMN())/(BJ$3/BH$3)</f>
        <v>1.2779825313110342</v>
      </c>
      <c r="BI332" s="53">
        <f>INDEX(MO_BSS_NTR,0,COLUMN())/INDEX(MO_UI_NWP,0,COLUMN())/(BJ$3/BI$3)</f>
        <v>1.9153115721934952</v>
      </c>
      <c r="BJ332" s="1184">
        <f>INDEX(MO_BSS_NTR,0,COLUMN())/INDEX(MO_UI_NWP,0,COLUMN())/(BJ$3/BJ$3)</f>
        <v>1.677899458059031</v>
      </c>
      <c r="BK332" s="53">
        <f>INDEX(MO_BSS_NTR,0,COLUMN())/INDEX(MO_UI_NWP,0,COLUMN())/(BO$3/BK$3)</f>
        <v>1.7404296957462333</v>
      </c>
      <c r="BL332" s="53">
        <f>INDEX(MO_BSS_NTR,0,COLUMN())/INDEX(MO_UI_NWP,0,COLUMN())/(BO$3/BL$3)</f>
        <v>1.7771927302537536</v>
      </c>
      <c r="BM332" s="53">
        <f>INDEX(MO_BSS_NTR,0,COLUMN())/INDEX(MO_UI_NWP,0,COLUMN())/(BO$3/BM$3)</f>
        <v>1.6836095436503253</v>
      </c>
      <c r="BN332" s="53">
        <f>INDEX(MO_BSS_NTR,0,COLUMN())/INDEX(MO_UI_NWP,0,COLUMN())/(BO$3/BN$3)</f>
        <v>1.9033331365357464</v>
      </c>
      <c r="BO332" s="1184">
        <f>INDEX(MO_BSS_NTR,0,COLUMN())/INDEX(MO_UI_NWP,0,COLUMN())/(BO$3/BO$3)</f>
        <v>1.8441442330903144</v>
      </c>
      <c r="BP332" s="1177">
        <f>INDEX(MO_BSS_NTR,0,COLUMN())/INDEX(MO_UI_NWP,0,COLUMN())/(BP3/BP3)</f>
        <v>1.8246915636200109</v>
      </c>
      <c r="BQ332" s="1177">
        <f>INDEX(MO_BSS_NTR,0,COLUMN())/INDEX(MO_UI_NWP,0,COLUMN())/(BQ3/BQ3)</f>
        <v>1.5903420434501336</v>
      </c>
      <c r="BR332" s="1184">
        <f>INDEX(MO_BSS_NTR,0,COLUMN())/INDEX(MO_UI_NWP,0,COLUMN())/(BR3/BR3)</f>
        <v>1.7027999563351188</v>
      </c>
      <c r="BS332" s="31"/>
    </row>
    <row r="333" spans="1:71" s="677" customFormat="1" ht="15">
      <c r="A333" s="24" t="s">
        <v>477</v>
      </c>
      <c r="B333" s="524"/>
      <c r="C333" s="1177"/>
      <c r="D333" s="1177"/>
      <c r="E333" s="1183">
        <f>E371/E32</f>
        <v>1.1555956678700361</v>
      </c>
      <c r="F333" s="1183">
        <f>F371/F32</f>
        <v>1.1386910817226179</v>
      </c>
      <c r="G333" s="1183">
        <f>G371/G32</f>
        <v>1.0520802155043401</v>
      </c>
      <c r="H333" s="786"/>
      <c r="I333" s="786"/>
      <c r="J333" s="786"/>
      <c r="K333" s="786"/>
      <c r="L333" s="1183">
        <f>L371/L32</f>
        <v>0.99502487562189057</v>
      </c>
      <c r="M333" s="786"/>
      <c r="N333" s="786"/>
      <c r="O333" s="786"/>
      <c r="P333" s="786"/>
      <c r="Q333" s="1183">
        <f>Q371/Q32</f>
        <v>0.9727293737000231</v>
      </c>
      <c r="R333" s="786"/>
      <c r="S333" s="526"/>
      <c r="T333" s="526"/>
      <c r="U333" s="786"/>
      <c r="V333" s="1183">
        <f>V371/V32</f>
        <v>1.1206110351117191</v>
      </c>
      <c r="W333" s="786"/>
      <c r="X333" s="526"/>
      <c r="Y333" s="526"/>
      <c r="Z333" s="786"/>
      <c r="AA333" s="1183">
        <f>AA371/AA32</f>
        <v>1.0231530204167543</v>
      </c>
      <c r="AB333" s="786"/>
      <c r="AC333" s="526"/>
      <c r="AD333" s="526"/>
      <c r="AE333" s="786"/>
      <c r="AF333" s="1183">
        <f>AF371/AF32</f>
        <v>1.1085008958789568</v>
      </c>
      <c r="AG333" s="786"/>
      <c r="AH333" s="526"/>
      <c r="AI333" s="526"/>
      <c r="AJ333" s="786"/>
      <c r="AK333" s="1183">
        <f>AK371/AK32</f>
        <v>1.162485960314489</v>
      </c>
      <c r="AL333" s="786"/>
      <c r="AM333" s="526"/>
      <c r="AN333" s="526"/>
      <c r="AO333" s="786"/>
      <c r="AP333" s="1183">
        <f>AP371/AP32</f>
        <v>1.3046080191502094</v>
      </c>
      <c r="AQ333" s="786"/>
      <c r="AR333" s="526"/>
      <c r="AS333" s="526"/>
      <c r="AT333" s="786"/>
      <c r="AU333" s="1183">
        <f>AU371/AU32</f>
        <v>0.75740175847837787</v>
      </c>
      <c r="AV333" s="786"/>
      <c r="AW333" s="526"/>
      <c r="AX333" s="526"/>
      <c r="AY333" s="786"/>
      <c r="AZ333" s="1183">
        <f>AZ371/AZ32</f>
        <v>0.70190138575572025</v>
      </c>
      <c r="BA333" s="786"/>
      <c r="BB333" s="526"/>
      <c r="BC333" s="526"/>
      <c r="BD333" s="786"/>
      <c r="BE333" s="1183">
        <f>BE371/BE32</f>
        <v>0.66288105200239089</v>
      </c>
      <c r="BF333" s="786"/>
      <c r="BG333" s="526"/>
      <c r="BH333" s="936"/>
      <c r="BI333" s="53"/>
      <c r="BJ333" s="1178"/>
      <c r="BK333" s="53"/>
      <c r="BL333" s="53"/>
      <c r="BM333" s="53"/>
      <c r="BN333" s="53"/>
      <c r="BO333" s="1178"/>
      <c r="BP333" s="1179"/>
      <c r="BQ333" s="1179"/>
      <c r="BR333" s="1178"/>
      <c r="BS333" s="31"/>
    </row>
    <row r="334" spans="1:71" s="677" customFormat="1" ht="15">
      <c r="A334" s="527"/>
      <c r="B334" s="524"/>
      <c r="C334" s="1177"/>
      <c r="D334" s="1177"/>
      <c r="E334" s="1177"/>
      <c r="F334" s="1177"/>
      <c r="G334" s="1177"/>
      <c r="H334" s="786"/>
      <c r="I334" s="786"/>
      <c r="J334" s="786"/>
      <c r="K334" s="786"/>
      <c r="L334" s="1177"/>
      <c r="M334" s="786"/>
      <c r="N334" s="786"/>
      <c r="O334" s="786"/>
      <c r="P334" s="786"/>
      <c r="Q334" s="1177"/>
      <c r="R334" s="786"/>
      <c r="S334" s="786"/>
      <c r="T334" s="786"/>
      <c r="U334" s="786"/>
      <c r="V334" s="1177"/>
      <c r="W334" s="786"/>
      <c r="X334" s="786"/>
      <c r="Y334" s="786"/>
      <c r="Z334" s="786"/>
      <c r="AA334" s="1177"/>
      <c r="AB334" s="786"/>
      <c r="AC334" s="786"/>
      <c r="AD334" s="786"/>
      <c r="AE334" s="786"/>
      <c r="AF334" s="1177"/>
      <c r="AG334" s="786"/>
      <c r="AH334" s="786"/>
      <c r="AI334" s="786"/>
      <c r="AJ334" s="786"/>
      <c r="AK334" s="1177"/>
      <c r="AL334" s="786"/>
      <c r="AM334" s="786"/>
      <c r="AN334" s="786"/>
      <c r="AO334" s="786"/>
      <c r="AP334" s="1177"/>
      <c r="AQ334" s="786"/>
      <c r="AR334" s="786"/>
      <c r="AS334" s="786"/>
      <c r="AT334" s="786"/>
      <c r="AU334" s="1177"/>
      <c r="AV334" s="786"/>
      <c r="AW334" s="786"/>
      <c r="AX334" s="786"/>
      <c r="AY334" s="786"/>
      <c r="AZ334" s="1177"/>
      <c r="BA334" s="786"/>
      <c r="BB334" s="786"/>
      <c r="BC334" s="786"/>
      <c r="BD334" s="786"/>
      <c r="BE334" s="1177"/>
      <c r="BF334" s="786"/>
      <c r="BG334" s="786"/>
      <c r="BH334" s="887"/>
      <c r="BI334" s="59"/>
      <c r="BJ334" s="1184"/>
      <c r="BK334" s="59"/>
      <c r="BL334" s="59"/>
      <c r="BM334" s="59"/>
      <c r="BN334" s="59"/>
      <c r="BO334" s="1184"/>
      <c r="BP334" s="1177"/>
      <c r="BQ334" s="1177"/>
      <c r="BR334" s="1184"/>
      <c r="BS334" s="31"/>
    </row>
    <row r="335" spans="1:71" s="674" customFormat="1" ht="15">
      <c r="A335" s="37" t="s">
        <v>237</v>
      </c>
      <c r="B335" s="509"/>
      <c r="C335" s="1147"/>
      <c r="D335" s="1147"/>
      <c r="E335" s="1180">
        <f t="shared" si="858" ref="E335:AK335">E577</f>
        <v>4411</v>
      </c>
      <c r="F335" s="1180">
        <f t="shared" si="858"/>
        <v>4578</v>
      </c>
      <c r="G335" s="1180">
        <f t="shared" si="858"/>
        <v>4599</v>
      </c>
      <c r="H335" s="287">
        <f t="shared" si="858"/>
        <v>4796</v>
      </c>
      <c r="I335" s="287">
        <f t="shared" si="858"/>
        <v>4985</v>
      </c>
      <c r="J335" s="287">
        <f t="shared" si="858"/>
        <v>4904</v>
      </c>
      <c r="K335" s="287">
        <f t="shared" si="858"/>
        <v>4879</v>
      </c>
      <c r="L335" s="1180">
        <f t="shared" si="858"/>
        <v>4879</v>
      </c>
      <c r="M335" s="287">
        <f t="shared" si="858"/>
        <v>4923</v>
      </c>
      <c r="N335" s="287">
        <f t="shared" si="858"/>
        <v>4802</v>
      </c>
      <c r="O335" s="287">
        <f t="shared" si="858"/>
        <v>4724</v>
      </c>
      <c r="P335" s="287">
        <f t="shared" si="858"/>
        <v>4592</v>
      </c>
      <c r="Q335" s="1180">
        <f t="shared" si="858"/>
        <v>4592</v>
      </c>
      <c r="R335" s="287">
        <f t="shared" si="858"/>
        <v>4755</v>
      </c>
      <c r="S335" s="287">
        <f t="shared" si="858"/>
        <v>5000</v>
      </c>
      <c r="T335" s="287">
        <f t="shared" si="858"/>
        <v>5161</v>
      </c>
      <c r="U335" s="287">
        <f t="shared" si="858"/>
        <v>4916</v>
      </c>
      <c r="V335" s="1180">
        <f t="shared" si="858"/>
        <v>4916</v>
      </c>
      <c r="W335" s="287">
        <f t="shared" si="858"/>
        <v>5191</v>
      </c>
      <c r="X335" s="287">
        <f t="shared" si="858"/>
        <v>5312</v>
      </c>
      <c r="Y335" s="287">
        <f t="shared" si="858"/>
        <v>5379</v>
      </c>
      <c r="Z335" s="287">
        <f t="shared" si="858"/>
        <v>5330</v>
      </c>
      <c r="AA335" s="1180">
        <f t="shared" si="858"/>
        <v>5330</v>
      </c>
      <c r="AB335" s="287">
        <f t="shared" si="858"/>
        <v>5183</v>
      </c>
      <c r="AC335" s="287">
        <f t="shared" si="858"/>
        <v>5084</v>
      </c>
      <c r="AD335" s="287">
        <f t="shared" si="858"/>
        <v>5164</v>
      </c>
      <c r="AE335" s="287">
        <f t="shared" si="858"/>
        <v>4970</v>
      </c>
      <c r="AF335" s="1180">
        <f t="shared" si="858"/>
        <v>4970</v>
      </c>
      <c r="AG335" s="287">
        <f t="shared" si="858"/>
        <v>5665</v>
      </c>
      <c r="AH335" s="287">
        <f t="shared" si="858"/>
        <v>6090</v>
      </c>
      <c r="AI335" s="287">
        <f t="shared" si="858"/>
        <v>6321</v>
      </c>
      <c r="AJ335" s="287">
        <f t="shared" si="858"/>
        <v>6269</v>
      </c>
      <c r="AK335" s="1180">
        <f t="shared" si="858"/>
        <v>6269</v>
      </c>
      <c r="AL335" s="287">
        <f t="shared" si="859" ref="AL335:AQ335">AL577</f>
        <v>5047</v>
      </c>
      <c r="AM335" s="287">
        <f t="shared" si="859"/>
        <v>6126</v>
      </c>
      <c r="AN335" s="287">
        <f t="shared" si="859"/>
        <v>6340</v>
      </c>
      <c r="AO335" s="287">
        <f t="shared" si="859"/>
        <v>6789</v>
      </c>
      <c r="AP335" s="1180">
        <f t="shared" si="859"/>
        <v>6789</v>
      </c>
      <c r="AQ335" s="287">
        <f t="shared" si="859"/>
        <v>6685</v>
      </c>
      <c r="AR335" s="287">
        <f t="shared" si="860" ref="AR335:AW335">AR577</f>
        <v>5601</v>
      </c>
      <c r="AS335" s="287">
        <f t="shared" si="860"/>
        <v>5240</v>
      </c>
      <c r="AT335" s="287">
        <f t="shared" si="860"/>
        <v>5012</v>
      </c>
      <c r="AU335" s="1180">
        <f t="shared" si="860"/>
        <v>5012</v>
      </c>
      <c r="AV335" s="287">
        <f t="shared" si="860"/>
        <v>4835</v>
      </c>
      <c r="AW335" s="287">
        <f t="shared" si="860"/>
        <v>4067</v>
      </c>
      <c r="AX335" s="287">
        <f t="shared" si="861" ref="AX335:BJ335">AX577</f>
        <v>3932</v>
      </c>
      <c r="AY335" s="287">
        <f t="shared" si="861"/>
        <v>4052</v>
      </c>
      <c r="AZ335" s="1180">
        <f t="shared" si="861"/>
        <v>4052</v>
      </c>
      <c r="BA335" s="287">
        <f t="shared" si="862" ref="BA335:BI335">BA577</f>
        <v>3941</v>
      </c>
      <c r="BB335" s="287">
        <f t="shared" si="862"/>
        <v>3993</v>
      </c>
      <c r="BC335" s="287">
        <f t="shared" si="862"/>
        <v>3981</v>
      </c>
      <c r="BD335" s="287">
        <f t="shared" si="862"/>
        <v>4258</v>
      </c>
      <c r="BE335" s="1180">
        <f t="shared" si="862"/>
        <v>4258</v>
      </c>
      <c r="BF335" s="287">
        <f>BF577</f>
        <v>4240</v>
      </c>
      <c r="BG335" s="287">
        <f>BG577</f>
        <v>4384</v>
      </c>
      <c r="BH335" s="888">
        <f>BH577</f>
        <v>4708</v>
      </c>
      <c r="BI335" s="159">
        <f t="shared" ca="1" si="862"/>
        <v>4620.67545724918</v>
      </c>
      <c r="BJ335" s="1148">
        <f t="shared" ca="1" si="861"/>
        <v>4620.67545724918</v>
      </c>
      <c r="BK335" s="159">
        <f ca="1" t="shared" si="863" ref="BK335:BR335">BK577</f>
        <v>4846.8986861986323</v>
      </c>
      <c r="BL335" s="159">
        <f t="shared" ca="1" si="863"/>
        <v>5039.5323808194544</v>
      </c>
      <c r="BM335" s="159">
        <f t="shared" ca="1" si="863"/>
        <v>5252.210256446715</v>
      </c>
      <c r="BN335" s="159">
        <f t="shared" ca="1" si="863"/>
        <v>5522.2529836825224</v>
      </c>
      <c r="BO335" s="1148">
        <f t="shared" ca="1" si="863"/>
        <v>5522.2529836825224</v>
      </c>
      <c r="BP335" s="1147">
        <f t="shared" ca="1" si="863"/>
        <v>6516.396020882119</v>
      </c>
      <c r="BQ335" s="1147">
        <f t="shared" ca="1" si="863"/>
        <v>7812.1070254876158</v>
      </c>
      <c r="BR335" s="1148">
        <f t="shared" ca="1" si="863"/>
        <v>9179.2655358805368</v>
      </c>
      <c r="BS335" s="37"/>
    </row>
    <row r="336" spans="1:71" s="673" customFormat="1" ht="15" hidden="1" outlineLevel="1">
      <c r="A336" s="115" t="s">
        <v>238</v>
      </c>
      <c r="B336" s="511"/>
      <c r="C336" s="1134"/>
      <c r="D336" s="1134"/>
      <c r="E336" s="1135">
        <v>-173</v>
      </c>
      <c r="F336" s="1135">
        <v>-75</v>
      </c>
      <c r="G336" s="1135">
        <v>-49</v>
      </c>
      <c r="H336" s="1040">
        <v>-49</v>
      </c>
      <c r="I336" s="1040">
        <v>-31</v>
      </c>
      <c r="J336" s="1040">
        <v>-2</v>
      </c>
      <c r="K336" s="1040">
        <v>2</v>
      </c>
      <c r="L336" s="1135">
        <v>2</v>
      </c>
      <c r="M336" s="363"/>
      <c r="N336" s="363"/>
      <c r="O336" s="363"/>
      <c r="P336" s="39">
        <f>Q336</f>
        <v>0</v>
      </c>
      <c r="Q336" s="1134"/>
      <c r="R336" s="363"/>
      <c r="S336" s="363"/>
      <c r="T336" s="363"/>
      <c r="U336" s="39">
        <f>V336</f>
        <v>0</v>
      </c>
      <c r="V336" s="1134"/>
      <c r="W336" s="363"/>
      <c r="X336" s="363"/>
      <c r="Y336" s="363"/>
      <c r="Z336" s="363"/>
      <c r="AA336" s="1134"/>
      <c r="AB336" s="363"/>
      <c r="AC336" s="363"/>
      <c r="AD336" s="363"/>
      <c r="AE336" s="363"/>
      <c r="AF336" s="1134"/>
      <c r="AG336" s="363"/>
      <c r="AH336" s="363"/>
      <c r="AI336" s="363"/>
      <c r="AJ336" s="363"/>
      <c r="AK336" s="1134"/>
      <c r="AL336" s="363"/>
      <c r="AM336" s="363"/>
      <c r="AN336" s="363"/>
      <c r="AO336" s="363"/>
      <c r="AP336" s="1134"/>
      <c r="AQ336" s="363"/>
      <c r="AR336" s="363"/>
      <c r="AS336" s="363"/>
      <c r="AT336" s="363"/>
      <c r="AU336" s="1134"/>
      <c r="AV336" s="363"/>
      <c r="AW336" s="363"/>
      <c r="AX336" s="363"/>
      <c r="AY336" s="363"/>
      <c r="AZ336" s="1134"/>
      <c r="BA336" s="363"/>
      <c r="BB336" s="363"/>
      <c r="BC336" s="363"/>
      <c r="BD336" s="363"/>
      <c r="BE336" s="1134"/>
      <c r="BF336" s="363"/>
      <c r="BG336" s="363"/>
      <c r="BH336" s="773"/>
      <c r="BI336" s="363"/>
      <c r="BJ336" s="1134"/>
      <c r="BK336" s="363"/>
      <c r="BL336" s="363"/>
      <c r="BM336" s="363"/>
      <c r="BN336" s="363"/>
      <c r="BO336" s="1134"/>
      <c r="BP336" s="1134"/>
      <c r="BQ336" s="1134"/>
      <c r="BR336" s="1134"/>
      <c r="BS336" s="32"/>
    </row>
    <row r="337" spans="1:71" s="674" customFormat="1" ht="15" collapsed="1">
      <c r="A337" s="287" t="s">
        <v>239</v>
      </c>
      <c r="B337" s="528"/>
      <c r="C337" s="1147"/>
      <c r="D337" s="1147"/>
      <c r="E337" s="1180">
        <f t="shared" si="864" ref="E337:AK337">SUM(E335:E336)</f>
        <v>4238</v>
      </c>
      <c r="F337" s="1180">
        <f t="shared" si="864"/>
        <v>4503</v>
      </c>
      <c r="G337" s="1180">
        <f t="shared" si="864"/>
        <v>4550</v>
      </c>
      <c r="H337" s="287">
        <f t="shared" si="864"/>
        <v>4747</v>
      </c>
      <c r="I337" s="287">
        <f t="shared" si="864"/>
        <v>4954</v>
      </c>
      <c r="J337" s="287">
        <f t="shared" si="864"/>
        <v>4902</v>
      </c>
      <c r="K337" s="287">
        <f t="shared" si="864"/>
        <v>4881</v>
      </c>
      <c r="L337" s="1180">
        <f t="shared" si="864"/>
        <v>4881</v>
      </c>
      <c r="M337" s="287">
        <f t="shared" si="864"/>
        <v>4923</v>
      </c>
      <c r="N337" s="287">
        <f t="shared" si="864"/>
        <v>4802</v>
      </c>
      <c r="O337" s="287">
        <f t="shared" si="864"/>
        <v>4724</v>
      </c>
      <c r="P337" s="287">
        <f t="shared" si="864"/>
        <v>4592</v>
      </c>
      <c r="Q337" s="1180">
        <f t="shared" si="864"/>
        <v>4592</v>
      </c>
      <c r="R337" s="287">
        <f t="shared" si="864"/>
        <v>4755</v>
      </c>
      <c r="S337" s="287">
        <f t="shared" si="864"/>
        <v>5000</v>
      </c>
      <c r="T337" s="287">
        <f t="shared" si="864"/>
        <v>5161</v>
      </c>
      <c r="U337" s="287">
        <f t="shared" si="864"/>
        <v>4916</v>
      </c>
      <c r="V337" s="1180">
        <f t="shared" si="864"/>
        <v>4916</v>
      </c>
      <c r="W337" s="287">
        <f t="shared" si="864"/>
        <v>5191</v>
      </c>
      <c r="X337" s="287">
        <f t="shared" si="864"/>
        <v>5312</v>
      </c>
      <c r="Y337" s="287">
        <f t="shared" si="864"/>
        <v>5379</v>
      </c>
      <c r="Z337" s="287">
        <f t="shared" si="864"/>
        <v>5330</v>
      </c>
      <c r="AA337" s="1180">
        <f t="shared" si="864"/>
        <v>5330</v>
      </c>
      <c r="AB337" s="287">
        <f t="shared" si="864"/>
        <v>5183</v>
      </c>
      <c r="AC337" s="287">
        <f t="shared" si="864"/>
        <v>5084</v>
      </c>
      <c r="AD337" s="287">
        <f t="shared" si="864"/>
        <v>5164</v>
      </c>
      <c r="AE337" s="287">
        <f t="shared" si="864"/>
        <v>4970</v>
      </c>
      <c r="AF337" s="1180">
        <f t="shared" si="864"/>
        <v>4970</v>
      </c>
      <c r="AG337" s="287">
        <f t="shared" si="864"/>
        <v>5665</v>
      </c>
      <c r="AH337" s="287">
        <f t="shared" si="864"/>
        <v>6090</v>
      </c>
      <c r="AI337" s="287">
        <f t="shared" si="864"/>
        <v>6321</v>
      </c>
      <c r="AJ337" s="287">
        <f t="shared" si="864"/>
        <v>6269</v>
      </c>
      <c r="AK337" s="1180">
        <f t="shared" si="864"/>
        <v>6269</v>
      </c>
      <c r="AL337" s="287">
        <f t="shared" si="865" ref="AL337:AQ337">SUM(AL335:AL336)</f>
        <v>5047</v>
      </c>
      <c r="AM337" s="287">
        <f t="shared" si="865"/>
        <v>6126</v>
      </c>
      <c r="AN337" s="287">
        <f t="shared" si="865"/>
        <v>6340</v>
      </c>
      <c r="AO337" s="287">
        <f t="shared" si="865"/>
        <v>6789</v>
      </c>
      <c r="AP337" s="1180">
        <f t="shared" si="865"/>
        <v>6789</v>
      </c>
      <c r="AQ337" s="287">
        <f t="shared" si="865"/>
        <v>6685</v>
      </c>
      <c r="AR337" s="287">
        <f t="shared" si="866" ref="AR337:AW337">SUM(AR335:AR336)</f>
        <v>5601</v>
      </c>
      <c r="AS337" s="287">
        <f t="shared" si="866"/>
        <v>5240</v>
      </c>
      <c r="AT337" s="287">
        <f t="shared" si="866"/>
        <v>5012</v>
      </c>
      <c r="AU337" s="1180">
        <f t="shared" si="866"/>
        <v>5012</v>
      </c>
      <c r="AV337" s="287">
        <f t="shared" si="866"/>
        <v>4835</v>
      </c>
      <c r="AW337" s="287">
        <f t="shared" si="866"/>
        <v>4067</v>
      </c>
      <c r="AX337" s="287">
        <f t="shared" si="867" ref="AX337:BJ337">SUM(AX335:AX336)</f>
        <v>3932</v>
      </c>
      <c r="AY337" s="287">
        <f t="shared" si="867"/>
        <v>4052</v>
      </c>
      <c r="AZ337" s="1180">
        <f t="shared" si="867"/>
        <v>4052</v>
      </c>
      <c r="BA337" s="287">
        <f t="shared" si="868" ref="BA337:BI337">SUM(BA335:BA336)</f>
        <v>3941</v>
      </c>
      <c r="BB337" s="287">
        <f t="shared" si="868"/>
        <v>3993</v>
      </c>
      <c r="BC337" s="287">
        <f t="shared" si="868"/>
        <v>3981</v>
      </c>
      <c r="BD337" s="287">
        <f t="shared" si="868"/>
        <v>4258</v>
      </c>
      <c r="BE337" s="1180">
        <f t="shared" si="868"/>
        <v>4258</v>
      </c>
      <c r="BF337" s="287">
        <f>SUM(BF335:BF336)</f>
        <v>4240</v>
      </c>
      <c r="BG337" s="287">
        <f>SUM(BG335:BG336)</f>
        <v>4384</v>
      </c>
      <c r="BH337" s="888">
        <f>SUM(BH335:BH336)</f>
        <v>4708</v>
      </c>
      <c r="BI337" s="426">
        <f t="shared" ca="1" si="868"/>
        <v>4620.67545724918</v>
      </c>
      <c r="BJ337" s="1147">
        <f t="shared" ca="1" si="867"/>
        <v>4620.67545724918</v>
      </c>
      <c r="BK337" s="426">
        <f ca="1" t="shared" si="869" ref="BK337:BR337">SUM(BK335:BK336)</f>
        <v>4846.8986861986323</v>
      </c>
      <c r="BL337" s="426">
        <f t="shared" ca="1" si="869"/>
        <v>5039.5323808194544</v>
      </c>
      <c r="BM337" s="426">
        <f t="shared" ca="1" si="869"/>
        <v>5252.210256446715</v>
      </c>
      <c r="BN337" s="426">
        <f t="shared" ca="1" si="869"/>
        <v>5522.2529836825224</v>
      </c>
      <c r="BO337" s="1147">
        <f t="shared" ca="1" si="869"/>
        <v>5522.2529836825224</v>
      </c>
      <c r="BP337" s="1147">
        <f t="shared" ca="1" si="869"/>
        <v>6516.396020882119</v>
      </c>
      <c r="BQ337" s="1147">
        <f t="shared" ca="1" si="869"/>
        <v>7812.1070254876158</v>
      </c>
      <c r="BR337" s="1147">
        <f t="shared" ca="1" si="869"/>
        <v>9179.2655358805368</v>
      </c>
      <c r="BS337" s="37"/>
    </row>
    <row r="338" spans="1:71" s="673" customFormat="1" ht="15" hidden="1" outlineLevel="1">
      <c r="A338" s="114" t="s">
        <v>240</v>
      </c>
      <c r="B338" s="417"/>
      <c r="C338" s="1131"/>
      <c r="D338" s="1131"/>
      <c r="E338" s="1132">
        <v>-459</v>
      </c>
      <c r="F338" s="1132">
        <v>-719</v>
      </c>
      <c r="G338" s="1132">
        <v>-441</v>
      </c>
      <c r="H338" s="1037">
        <v>-556</v>
      </c>
      <c r="I338" s="1037">
        <v>-656</v>
      </c>
      <c r="J338" s="1037">
        <v>-602</v>
      </c>
      <c r="K338" s="1037">
        <v>-604</v>
      </c>
      <c r="L338" s="1132">
        <v>-604</v>
      </c>
      <c r="M338" s="1037">
        <v>-656</v>
      </c>
      <c r="N338" s="1037">
        <v>-457</v>
      </c>
      <c r="O338" s="1037">
        <v>-445</v>
      </c>
      <c r="P338" s="1037">
        <v>-278</v>
      </c>
      <c r="Q338" s="1132">
        <v>-278</v>
      </c>
      <c r="R338" s="1037">
        <v>-430</v>
      </c>
      <c r="S338" s="1037">
        <v>-644</v>
      </c>
      <c r="T338" s="1037">
        <v>-674</v>
      </c>
      <c r="U338" s="1037">
        <v>-299</v>
      </c>
      <c r="V338" s="1132">
        <v>-299</v>
      </c>
      <c r="W338" s="1037">
        <v>-376</v>
      </c>
      <c r="X338" s="1037">
        <v>-475</v>
      </c>
      <c r="Y338" s="1037">
        <v>-299</v>
      </c>
      <c r="Z338" s="288">
        <f>AA338</f>
        <v>-606</v>
      </c>
      <c r="AA338" s="1132">
        <v>-606</v>
      </c>
      <c r="AB338" s="1037">
        <v>-318</v>
      </c>
      <c r="AC338" s="1037">
        <v>-164</v>
      </c>
      <c r="AD338" s="1037">
        <v>-61</v>
      </c>
      <c r="AE338" s="288">
        <f>AF338</f>
        <v>-72</v>
      </c>
      <c r="AF338" s="1132">
        <v>-72</v>
      </c>
      <c r="AG338" s="1037">
        <v>-464</v>
      </c>
      <c r="AH338" s="1037">
        <v>-830</v>
      </c>
      <c r="AI338" s="1037">
        <v>-945</v>
      </c>
      <c r="AJ338" s="288">
        <f>AK338</f>
        <v>-879</v>
      </c>
      <c r="AK338" s="1132">
        <v>-879</v>
      </c>
      <c r="AL338" s="1037">
        <v>-60</v>
      </c>
      <c r="AM338" s="1037">
        <v>-1077</v>
      </c>
      <c r="AN338" s="1037">
        <v>-1253</v>
      </c>
      <c r="AO338" s="288">
        <f>AP338</f>
        <v>-1296</v>
      </c>
      <c r="AP338" s="1132">
        <v>-1296</v>
      </c>
      <c r="AQ338" s="1037">
        <v>-990</v>
      </c>
      <c r="AR338" s="1037">
        <v>-205</v>
      </c>
      <c r="AS338" s="1037">
        <v>-178</v>
      </c>
      <c r="AT338" s="288">
        <f>AU338</f>
        <v>-136</v>
      </c>
      <c r="AU338" s="1132">
        <v>-136</v>
      </c>
      <c r="AV338" s="1037">
        <v>113</v>
      </c>
      <c r="AW338" s="1037">
        <v>334</v>
      </c>
      <c r="AX338" s="1037">
        <v>583</v>
      </c>
      <c r="AY338" s="288">
        <f>AZ338</f>
        <v>526</v>
      </c>
      <c r="AZ338" s="1132">
        <v>526</v>
      </c>
      <c r="BA338" s="1037">
        <v>434</v>
      </c>
      <c r="BB338" s="1037">
        <v>497</v>
      </c>
      <c r="BC338" s="1037">
        <v>555</v>
      </c>
      <c r="BD338" s="288">
        <f>BE338</f>
        <v>304</v>
      </c>
      <c r="BE338" s="1132">
        <v>304</v>
      </c>
      <c r="BF338" s="1037">
        <v>278</v>
      </c>
      <c r="BG338" s="1037">
        <v>290</v>
      </c>
      <c r="BH338" s="1038">
        <v>100</v>
      </c>
      <c r="BI338" s="171">
        <f t="shared" si="870" ref="BI338:BR338">BH338</f>
        <v>100</v>
      </c>
      <c r="BJ338" s="1133">
        <f t="shared" si="870"/>
        <v>100</v>
      </c>
      <c r="BK338" s="171">
        <f t="shared" si="870"/>
        <v>100</v>
      </c>
      <c r="BL338" s="171">
        <f t="shared" si="870"/>
        <v>100</v>
      </c>
      <c r="BM338" s="171">
        <f t="shared" si="870"/>
        <v>100</v>
      </c>
      <c r="BN338" s="171">
        <f t="shared" si="870"/>
        <v>100</v>
      </c>
      <c r="BO338" s="1133">
        <f t="shared" si="870"/>
        <v>100</v>
      </c>
      <c r="BP338" s="1131">
        <f t="shared" si="870"/>
        <v>100</v>
      </c>
      <c r="BQ338" s="1131">
        <f t="shared" si="870"/>
        <v>100</v>
      </c>
      <c r="BR338" s="1133">
        <f t="shared" si="870"/>
        <v>100</v>
      </c>
      <c r="BS338" s="32"/>
    </row>
    <row r="339" spans="1:71" s="673" customFormat="1" ht="15" hidden="1" outlineLevel="1">
      <c r="A339" s="114" t="s">
        <v>241</v>
      </c>
      <c r="B339" s="417"/>
      <c r="C339" s="1131"/>
      <c r="D339" s="1131"/>
      <c r="E339" s="1140">
        <f t="shared" si="871" ref="E339:AP339">-E551</f>
        <v>-186</v>
      </c>
      <c r="F339" s="1140">
        <f t="shared" si="871"/>
        <v>-185</v>
      </c>
      <c r="G339" s="1140">
        <f t="shared" si="871"/>
        <v>-185</v>
      </c>
      <c r="H339" s="288">
        <f t="shared" si="871"/>
        <v>-185</v>
      </c>
      <c r="I339" s="288">
        <f t="shared" si="871"/>
        <v>-200</v>
      </c>
      <c r="J339" s="288">
        <f t="shared" si="871"/>
        <v>-201</v>
      </c>
      <c r="K339" s="288">
        <f t="shared" si="871"/>
        <v>-201</v>
      </c>
      <c r="L339" s="1140">
        <f t="shared" si="871"/>
        <v>-201</v>
      </c>
      <c r="M339" s="288">
        <f t="shared" si="871"/>
        <v>-201</v>
      </c>
      <c r="N339" s="288">
        <f t="shared" si="871"/>
        <v>-201</v>
      </c>
      <c r="O339" s="288">
        <f t="shared" si="871"/>
        <v>-201</v>
      </c>
      <c r="P339" s="288">
        <f t="shared" si="871"/>
        <v>-199</v>
      </c>
      <c r="Q339" s="1140">
        <f t="shared" si="871"/>
        <v>-199</v>
      </c>
      <c r="R339" s="288">
        <f t="shared" si="871"/>
        <v>-199</v>
      </c>
      <c r="S339" s="288">
        <f t="shared" si="871"/>
        <v>-199</v>
      </c>
      <c r="T339" s="288">
        <f t="shared" si="871"/>
        <v>-199</v>
      </c>
      <c r="U339" s="288">
        <f t="shared" si="871"/>
        <v>-199</v>
      </c>
      <c r="V339" s="1140">
        <f t="shared" si="871"/>
        <v>-199</v>
      </c>
      <c r="W339" s="288">
        <f t="shared" si="871"/>
        <v>-199</v>
      </c>
      <c r="X339" s="288">
        <f t="shared" si="871"/>
        <v>-199</v>
      </c>
      <c r="Y339" s="288">
        <f t="shared" si="871"/>
        <v>-199</v>
      </c>
      <c r="Z339" s="288">
        <f t="shared" si="871"/>
        <v>-199</v>
      </c>
      <c r="AA339" s="1140">
        <f t="shared" si="871"/>
        <v>-199</v>
      </c>
      <c r="AB339" s="288">
        <f t="shared" si="871"/>
        <v>-199</v>
      </c>
      <c r="AC339" s="288">
        <f t="shared" si="871"/>
        <v>-199</v>
      </c>
      <c r="AD339" s="288">
        <f t="shared" si="871"/>
        <v>-199</v>
      </c>
      <c r="AE339" s="288">
        <f t="shared" si="871"/>
        <v>-207</v>
      </c>
      <c r="AF339" s="1140">
        <f t="shared" si="871"/>
        <v>-207</v>
      </c>
      <c r="AG339" s="288">
        <f t="shared" si="871"/>
        <v>-207</v>
      </c>
      <c r="AH339" s="288">
        <f t="shared" si="871"/>
        <v>-207</v>
      </c>
      <c r="AI339" s="288">
        <f t="shared" si="871"/>
        <v>-207</v>
      </c>
      <c r="AJ339" s="288">
        <f t="shared" si="871"/>
        <v>-207</v>
      </c>
      <c r="AK339" s="1140">
        <f t="shared" si="871"/>
        <v>-207</v>
      </c>
      <c r="AL339" s="288">
        <f t="shared" si="871"/>
        <v>-207</v>
      </c>
      <c r="AM339" s="288">
        <f t="shared" si="871"/>
        <v>-207</v>
      </c>
      <c r="AN339" s="288">
        <f t="shared" si="871"/>
        <v>-207</v>
      </c>
      <c r="AO339" s="288">
        <f t="shared" si="871"/>
        <v>-207</v>
      </c>
      <c r="AP339" s="1140">
        <f t="shared" si="871"/>
        <v>-207</v>
      </c>
      <c r="AQ339" s="1037">
        <v>-207</v>
      </c>
      <c r="AR339" s="288">
        <f>-AR551</f>
        <v>-176</v>
      </c>
      <c r="AS339" s="288">
        <f>-AS551</f>
        <v>-176</v>
      </c>
      <c r="AT339" s="288">
        <f>AU339</f>
        <v>-246</v>
      </c>
      <c r="AU339" s="1132">
        <v>-246</v>
      </c>
      <c r="AV339" s="1037">
        <v>-246</v>
      </c>
      <c r="AW339" s="288">
        <f>-AW551</f>
        <v>-246</v>
      </c>
      <c r="AX339" s="288">
        <f>-AX551</f>
        <v>-246</v>
      </c>
      <c r="AY339" s="288">
        <f>AZ339</f>
        <v>-246</v>
      </c>
      <c r="AZ339" s="1132">
        <v>-246</v>
      </c>
      <c r="BA339" s="1037">
        <v>-246</v>
      </c>
      <c r="BB339" s="288">
        <f>-BB551</f>
        <v>-246</v>
      </c>
      <c r="BC339" s="288">
        <f>-BC551</f>
        <v>-305</v>
      </c>
      <c r="BD339" s="288">
        <f>BE339</f>
        <v>-305</v>
      </c>
      <c r="BE339" s="1132">
        <v>-305</v>
      </c>
      <c r="BF339" s="1037">
        <v>-305</v>
      </c>
      <c r="BG339" s="1037">
        <v>-305</v>
      </c>
      <c r="BH339" s="875">
        <f>-BH551</f>
        <v>-305</v>
      </c>
      <c r="BI339" s="171">
        <f t="shared" si="872" ref="BI339:BR339">BH339</f>
        <v>-305</v>
      </c>
      <c r="BJ339" s="1133">
        <f t="shared" si="872"/>
        <v>-305</v>
      </c>
      <c r="BK339" s="171">
        <f t="shared" si="872"/>
        <v>-305</v>
      </c>
      <c r="BL339" s="171">
        <f t="shared" si="872"/>
        <v>-305</v>
      </c>
      <c r="BM339" s="171">
        <f t="shared" si="872"/>
        <v>-305</v>
      </c>
      <c r="BN339" s="171">
        <f t="shared" si="872"/>
        <v>-305</v>
      </c>
      <c r="BO339" s="1133">
        <f t="shared" si="872"/>
        <v>-305</v>
      </c>
      <c r="BP339" s="1131">
        <f t="shared" si="872"/>
        <v>-305</v>
      </c>
      <c r="BQ339" s="1131">
        <f t="shared" si="872"/>
        <v>-305</v>
      </c>
      <c r="BR339" s="1133">
        <f t="shared" si="872"/>
        <v>-305</v>
      </c>
      <c r="BS339" s="32"/>
    </row>
    <row r="340" spans="1:71" s="673" customFormat="1" ht="15" hidden="1" outlineLevel="1">
      <c r="A340" s="115" t="s">
        <v>575</v>
      </c>
      <c r="B340" s="511"/>
      <c r="C340" s="1134"/>
      <c r="D340" s="1134"/>
      <c r="E340" s="1135">
        <v>-49</v>
      </c>
      <c r="F340" s="1135">
        <v>-36</v>
      </c>
      <c r="G340" s="1135">
        <v>-22</v>
      </c>
      <c r="H340" s="1040">
        <v>-27</v>
      </c>
      <c r="I340" s="1040">
        <v>-66</v>
      </c>
      <c r="J340" s="1040">
        <v>-63</v>
      </c>
      <c r="K340" s="1040">
        <v>-57</v>
      </c>
      <c r="L340" s="1135">
        <v>-57</v>
      </c>
      <c r="M340" s="1040">
        <v>-55</v>
      </c>
      <c r="N340" s="1040">
        <v>-53</v>
      </c>
      <c r="O340" s="1040">
        <v>-51</v>
      </c>
      <c r="P340" s="1040">
        <v>-49</v>
      </c>
      <c r="Q340" s="1135">
        <v>-49</v>
      </c>
      <c r="R340" s="1040">
        <v>-47</v>
      </c>
      <c r="S340" s="1040">
        <v>-46</v>
      </c>
      <c r="T340" s="1040">
        <v>-44</v>
      </c>
      <c r="U340" s="1040">
        <v>-34</v>
      </c>
      <c r="V340" s="1135">
        <v>-34</v>
      </c>
      <c r="W340" s="1040">
        <v>-32</v>
      </c>
      <c r="X340" s="1040">
        <v>-30</v>
      </c>
      <c r="Y340" s="1040">
        <v>-29</v>
      </c>
      <c r="Z340" s="39">
        <f>AA340</f>
        <v>-26</v>
      </c>
      <c r="AA340" s="1135">
        <v>-26</v>
      </c>
      <c r="AB340" s="1040">
        <v>-36</v>
      </c>
      <c r="AC340" s="1040">
        <v>-34</v>
      </c>
      <c r="AD340" s="1040">
        <v>-31</v>
      </c>
      <c r="AE340" s="39">
        <f>AF340</f>
        <v>-54</v>
      </c>
      <c r="AF340" s="1135">
        <v>-54</v>
      </c>
      <c r="AG340" s="1040">
        <v>-51</v>
      </c>
      <c r="AH340" s="1040">
        <v>-48</v>
      </c>
      <c r="AI340" s="1040">
        <v>-48</v>
      </c>
      <c r="AJ340" s="39">
        <f>AK340</f>
        <v>-43</v>
      </c>
      <c r="AK340" s="1135">
        <v>-43</v>
      </c>
      <c r="AL340" s="1040">
        <v>-40</v>
      </c>
      <c r="AM340" s="1040">
        <v>-37</v>
      </c>
      <c r="AN340" s="1040">
        <v>-34</v>
      </c>
      <c r="AO340" s="39">
        <f>AP340</f>
        <v>-34</v>
      </c>
      <c r="AP340" s="1135">
        <v>-34</v>
      </c>
      <c r="AQ340" s="1040">
        <v>-31</v>
      </c>
      <c r="AR340" s="1040">
        <v>-30</v>
      </c>
      <c r="AS340" s="1040">
        <v>-29</v>
      </c>
      <c r="AT340" s="39">
        <f>AU340</f>
        <v>-106</v>
      </c>
      <c r="AU340" s="1135">
        <v>-106</v>
      </c>
      <c r="AV340" s="1040">
        <v>-104</v>
      </c>
      <c r="AW340" s="1040">
        <v>-101</v>
      </c>
      <c r="AX340" s="1040">
        <v>-111</v>
      </c>
      <c r="AY340" s="39">
        <f>AZ340</f>
        <v>-108</v>
      </c>
      <c r="AZ340" s="1135">
        <v>-108</v>
      </c>
      <c r="BA340" s="1040">
        <v>-105</v>
      </c>
      <c r="BB340" s="1040">
        <v>-102</v>
      </c>
      <c r="BC340" s="1040">
        <v>-217</v>
      </c>
      <c r="BD340" s="39">
        <f>BE340</f>
        <v>-213</v>
      </c>
      <c r="BE340" s="1135">
        <v>-213</v>
      </c>
      <c r="BF340" s="1040">
        <v>-208</v>
      </c>
      <c r="BG340" s="1040">
        <v>-204</v>
      </c>
      <c r="BH340" s="1044">
        <v>-199</v>
      </c>
      <c r="BI340" s="363">
        <f t="shared" si="873" ref="BI340:BR340">BH340</f>
        <v>-199</v>
      </c>
      <c r="BJ340" s="1134">
        <f t="shared" si="873"/>
        <v>-199</v>
      </c>
      <c r="BK340" s="363">
        <f t="shared" si="873"/>
        <v>-199</v>
      </c>
      <c r="BL340" s="363">
        <f t="shared" si="873"/>
        <v>-199</v>
      </c>
      <c r="BM340" s="363">
        <f t="shared" si="873"/>
        <v>-199</v>
      </c>
      <c r="BN340" s="363">
        <f t="shared" si="873"/>
        <v>-199</v>
      </c>
      <c r="BO340" s="1134">
        <f t="shared" si="873"/>
        <v>-199</v>
      </c>
      <c r="BP340" s="1134">
        <f t="shared" si="873"/>
        <v>-199</v>
      </c>
      <c r="BQ340" s="1134">
        <f t="shared" si="873"/>
        <v>-199</v>
      </c>
      <c r="BR340" s="1134">
        <f t="shared" si="873"/>
        <v>-199</v>
      </c>
      <c r="BS340" s="32"/>
    </row>
    <row r="341" spans="1:71" s="674" customFormat="1" ht="15" collapsed="1">
      <c r="A341" s="287" t="s">
        <v>242</v>
      </c>
      <c r="B341" s="528"/>
      <c r="C341" s="1147"/>
      <c r="D341" s="1147"/>
      <c r="E341" s="1180">
        <f t="shared" si="874" ref="E341:AK341">SUM(E337:E340)</f>
        <v>3544</v>
      </c>
      <c r="F341" s="1180">
        <f t="shared" si="874"/>
        <v>3563</v>
      </c>
      <c r="G341" s="1180">
        <f t="shared" si="874"/>
        <v>3902</v>
      </c>
      <c r="H341" s="287">
        <f t="shared" si="874"/>
        <v>3979</v>
      </c>
      <c r="I341" s="287">
        <f t="shared" si="874"/>
        <v>4032</v>
      </c>
      <c r="J341" s="287">
        <f t="shared" si="874"/>
        <v>4036</v>
      </c>
      <c r="K341" s="287">
        <f t="shared" si="874"/>
        <v>4019</v>
      </c>
      <c r="L341" s="1180">
        <f t="shared" si="874"/>
        <v>4019</v>
      </c>
      <c r="M341" s="287">
        <f t="shared" si="874"/>
        <v>4011</v>
      </c>
      <c r="N341" s="287">
        <f t="shared" si="874"/>
        <v>4091</v>
      </c>
      <c r="O341" s="287">
        <f t="shared" si="874"/>
        <v>4027</v>
      </c>
      <c r="P341" s="287">
        <f t="shared" si="874"/>
        <v>4066</v>
      </c>
      <c r="Q341" s="1180">
        <f t="shared" si="874"/>
        <v>4066</v>
      </c>
      <c r="R341" s="287">
        <f t="shared" si="874"/>
        <v>4079</v>
      </c>
      <c r="S341" s="287">
        <f t="shared" si="874"/>
        <v>4111</v>
      </c>
      <c r="T341" s="287">
        <f t="shared" si="874"/>
        <v>4244</v>
      </c>
      <c r="U341" s="287">
        <f t="shared" si="874"/>
        <v>4384</v>
      </c>
      <c r="V341" s="1180">
        <f t="shared" si="874"/>
        <v>4384</v>
      </c>
      <c r="W341" s="287">
        <f t="shared" si="874"/>
        <v>4584</v>
      </c>
      <c r="X341" s="287">
        <f t="shared" si="874"/>
        <v>4608</v>
      </c>
      <c r="Y341" s="287">
        <f t="shared" si="874"/>
        <v>4852</v>
      </c>
      <c r="Z341" s="287">
        <f t="shared" si="874"/>
        <v>4499</v>
      </c>
      <c r="AA341" s="1180">
        <f t="shared" si="874"/>
        <v>4499</v>
      </c>
      <c r="AB341" s="287">
        <f t="shared" si="874"/>
        <v>4630</v>
      </c>
      <c r="AC341" s="287">
        <f t="shared" si="874"/>
        <v>4687</v>
      </c>
      <c r="AD341" s="287">
        <f t="shared" si="874"/>
        <v>4873</v>
      </c>
      <c r="AE341" s="287">
        <f t="shared" si="874"/>
        <v>4637</v>
      </c>
      <c r="AF341" s="1180">
        <f t="shared" si="874"/>
        <v>4637</v>
      </c>
      <c r="AG341" s="287">
        <f t="shared" si="874"/>
        <v>4943</v>
      </c>
      <c r="AH341" s="287">
        <f t="shared" si="874"/>
        <v>5005</v>
      </c>
      <c r="AI341" s="287">
        <f t="shared" si="874"/>
        <v>5121</v>
      </c>
      <c r="AJ341" s="287">
        <f t="shared" si="874"/>
        <v>5140</v>
      </c>
      <c r="AK341" s="1180">
        <f t="shared" si="874"/>
        <v>5140</v>
      </c>
      <c r="AL341" s="287">
        <f t="shared" si="875" ref="AL341:AQ341">SUM(AL337:AL340)</f>
        <v>4740</v>
      </c>
      <c r="AM341" s="287">
        <f t="shared" si="875"/>
        <v>4805</v>
      </c>
      <c r="AN341" s="287">
        <f t="shared" si="875"/>
        <v>4846</v>
      </c>
      <c r="AO341" s="287">
        <f t="shared" si="875"/>
        <v>5252</v>
      </c>
      <c r="AP341" s="1180">
        <f t="shared" si="875"/>
        <v>5252</v>
      </c>
      <c r="AQ341" s="287">
        <f t="shared" si="875"/>
        <v>5457</v>
      </c>
      <c r="AR341" s="287">
        <f t="shared" si="876" ref="AR341:AW341">SUM(AR337:AR340)</f>
        <v>5190</v>
      </c>
      <c r="AS341" s="287">
        <f t="shared" si="876"/>
        <v>4857</v>
      </c>
      <c r="AT341" s="287">
        <f t="shared" si="876"/>
        <v>4524</v>
      </c>
      <c r="AU341" s="1180">
        <f t="shared" si="876"/>
        <v>4524</v>
      </c>
      <c r="AV341" s="287">
        <f t="shared" si="876"/>
        <v>4598</v>
      </c>
      <c r="AW341" s="287">
        <f t="shared" si="876"/>
        <v>4054</v>
      </c>
      <c r="AX341" s="287">
        <f t="shared" si="877" ref="AX341:BJ341">SUM(AX337:AX340)</f>
        <v>4158</v>
      </c>
      <c r="AY341" s="287">
        <f t="shared" si="877"/>
        <v>4224</v>
      </c>
      <c r="AZ341" s="1180">
        <f t="shared" si="877"/>
        <v>4224</v>
      </c>
      <c r="BA341" s="287">
        <f t="shared" si="878" ref="BA341:BI341">SUM(BA337:BA340)</f>
        <v>4024</v>
      </c>
      <c r="BB341" s="287">
        <f t="shared" si="878"/>
        <v>4142</v>
      </c>
      <c r="BC341" s="287">
        <f t="shared" si="878"/>
        <v>4014</v>
      </c>
      <c r="BD341" s="287">
        <f t="shared" si="878"/>
        <v>4044</v>
      </c>
      <c r="BE341" s="1180">
        <f t="shared" si="878"/>
        <v>4044</v>
      </c>
      <c r="BF341" s="287">
        <f>SUM(BF337:BF340)</f>
        <v>4005</v>
      </c>
      <c r="BG341" s="287">
        <f>SUM(BG337:BG340)</f>
        <v>4165</v>
      </c>
      <c r="BH341" s="888">
        <f>SUM(BH337:BH340)</f>
        <v>4304</v>
      </c>
      <c r="BI341" s="426">
        <f t="shared" ca="1" si="878"/>
        <v>4216.67545724918</v>
      </c>
      <c r="BJ341" s="1147">
        <f t="shared" ca="1" si="877"/>
        <v>4216.67545724918</v>
      </c>
      <c r="BK341" s="426">
        <f ca="1" t="shared" si="879" ref="BK341:BR341">SUM(BK337:BK340)</f>
        <v>4442.8986861986323</v>
      </c>
      <c r="BL341" s="426">
        <f t="shared" ca="1" si="879"/>
        <v>4635.5323808194544</v>
      </c>
      <c r="BM341" s="426">
        <f t="shared" ca="1" si="879"/>
        <v>4848.210256446715</v>
      </c>
      <c r="BN341" s="426">
        <f t="shared" ca="1" si="879"/>
        <v>5118.2529836825224</v>
      </c>
      <c r="BO341" s="1147">
        <f t="shared" ca="1" si="879"/>
        <v>5118.2529836825224</v>
      </c>
      <c r="BP341" s="1147">
        <f t="shared" ca="1" si="879"/>
        <v>6112.396020882119</v>
      </c>
      <c r="BQ341" s="1147">
        <f t="shared" ca="1" si="879"/>
        <v>7408.1070254876158</v>
      </c>
      <c r="BR341" s="1147">
        <f t="shared" ca="1" si="879"/>
        <v>8775.2655358805368</v>
      </c>
      <c r="BS341" s="37"/>
    </row>
    <row r="342" spans="1:71" s="677" customFormat="1" ht="15">
      <c r="A342" s="527"/>
      <c r="B342" s="524"/>
      <c r="C342" s="1177"/>
      <c r="D342" s="1177"/>
      <c r="E342" s="1177"/>
      <c r="F342" s="1177"/>
      <c r="G342" s="1177"/>
      <c r="H342" s="786"/>
      <c r="I342" s="786"/>
      <c r="J342" s="786"/>
      <c r="K342" s="786"/>
      <c r="L342" s="1177"/>
      <c r="M342" s="786"/>
      <c r="N342" s="786"/>
      <c r="O342" s="786"/>
      <c r="P342" s="786"/>
      <c r="Q342" s="1177"/>
      <c r="R342" s="786"/>
      <c r="S342" s="786"/>
      <c r="T342" s="786"/>
      <c r="U342" s="786"/>
      <c r="V342" s="1177"/>
      <c r="W342" s="786"/>
      <c r="X342" s="786"/>
      <c r="Y342" s="786"/>
      <c r="Z342" s="786"/>
      <c r="AA342" s="1177"/>
      <c r="AB342" s="786"/>
      <c r="AC342" s="786"/>
      <c r="AD342" s="786"/>
      <c r="AE342" s="786"/>
      <c r="AF342" s="1177"/>
      <c r="AG342" s="786"/>
      <c r="AH342" s="786"/>
      <c r="AI342" s="786"/>
      <c r="AJ342" s="786"/>
      <c r="AK342" s="1177"/>
      <c r="AL342" s="786"/>
      <c r="AM342" s="786"/>
      <c r="AN342" s="786"/>
      <c r="AO342" s="786"/>
      <c r="AP342" s="1177"/>
      <c r="AQ342" s="786"/>
      <c r="AR342" s="786"/>
      <c r="AS342" s="786"/>
      <c r="AT342" s="786"/>
      <c r="AU342" s="1177"/>
      <c r="AV342" s="786"/>
      <c r="AW342" s="786"/>
      <c r="AX342" s="786"/>
      <c r="AY342" s="786"/>
      <c r="AZ342" s="1177"/>
      <c r="BA342" s="786"/>
      <c r="BB342" s="786"/>
      <c r="BC342" s="786"/>
      <c r="BD342" s="786"/>
      <c r="BE342" s="1177"/>
      <c r="BF342" s="786"/>
      <c r="BG342" s="786"/>
      <c r="BH342" s="887"/>
      <c r="BI342" s="59"/>
      <c r="BJ342" s="1184"/>
      <c r="BK342" s="59"/>
      <c r="BL342" s="59"/>
      <c r="BM342" s="59"/>
      <c r="BN342" s="59"/>
      <c r="BO342" s="1184"/>
      <c r="BP342" s="1177"/>
      <c r="BQ342" s="1177"/>
      <c r="BR342" s="1184"/>
      <c r="BS342" s="31"/>
    </row>
    <row r="343" spans="1:71" s="684" customFormat="1" ht="15">
      <c r="A343" s="47" t="s">
        <v>243</v>
      </c>
      <c r="B343" s="411"/>
      <c r="C343" s="1207"/>
      <c r="D343" s="1207"/>
      <c r="E343" s="1205">
        <f t="shared" si="880" ref="E343:AK343">ROUND(INDEX(MO_BSS_TotalCommonEquity,0,COLUMN())/INDEX(MO_RIS_ShareCount_EoPB,0,COLUMN()),6)</f>
        <v>43.312783000000003</v>
      </c>
      <c r="F343" s="1205">
        <f t="shared" si="880"/>
        <v>50.607273999999997</v>
      </c>
      <c r="G343" s="1205">
        <f t="shared" si="880"/>
        <v>50.830385999999997</v>
      </c>
      <c r="H343" s="656">
        <f t="shared" si="880"/>
        <v>52.986415999999998</v>
      </c>
      <c r="I343" s="656">
        <f t="shared" si="880"/>
        <v>55.278806000000003</v>
      </c>
      <c r="J343" s="656">
        <f t="shared" si="880"/>
        <v>55.395485000000001</v>
      </c>
      <c r="K343" s="656">
        <f t="shared" si="880"/>
        <v>55.650064999999998</v>
      </c>
      <c r="L343" s="1205">
        <f t="shared" si="880"/>
        <v>55.650064999999998</v>
      </c>
      <c r="M343" s="656">
        <f t="shared" si="880"/>
        <v>56.015929</v>
      </c>
      <c r="N343" s="656">
        <f t="shared" si="880"/>
        <v>54.854664999999997</v>
      </c>
      <c r="O343" s="656">
        <f t="shared" si="880"/>
        <v>54.095419</v>
      </c>
      <c r="P343" s="656">
        <f t="shared" si="880"/>
        <v>52.495327000000003</v>
      </c>
      <c r="Q343" s="1205">
        <f t="shared" si="880"/>
        <v>52.495327000000003</v>
      </c>
      <c r="R343" s="656">
        <f t="shared" si="880"/>
        <v>54.676358</v>
      </c>
      <c r="S343" s="656">
        <f t="shared" si="880"/>
        <v>57.570219999999999</v>
      </c>
      <c r="T343" s="656">
        <f t="shared" si="880"/>
        <v>59.449860999999999</v>
      </c>
      <c r="U343" s="656">
        <f t="shared" si="880"/>
        <v>56.554892000000002</v>
      </c>
      <c r="V343" s="1205">
        <f t="shared" si="880"/>
        <v>56.554892000000002</v>
      </c>
      <c r="W343" s="656">
        <f t="shared" si="880"/>
        <v>59.263626000000002</v>
      </c>
      <c r="X343" s="656">
        <f t="shared" si="880"/>
        <v>60.358662000000002</v>
      </c>
      <c r="Y343" s="656">
        <f t="shared" si="880"/>
        <v>61.060612999999996</v>
      </c>
      <c r="Z343" s="656">
        <f t="shared" si="880"/>
        <v>60.379181000000003</v>
      </c>
      <c r="AA343" s="1205">
        <f t="shared" si="880"/>
        <v>60.379181000000003</v>
      </c>
      <c r="AB343" s="656">
        <f t="shared" si="880"/>
        <v>58.313786</v>
      </c>
      <c r="AC343" s="656">
        <f t="shared" si="880"/>
        <v>57.077347000000003</v>
      </c>
      <c r="AD343" s="656">
        <f t="shared" si="880"/>
        <v>57.899706000000002</v>
      </c>
      <c r="AE343" s="656">
        <f t="shared" si="880"/>
        <v>55.660254000000002</v>
      </c>
      <c r="AF343" s="1205">
        <f t="shared" si="880"/>
        <v>55.660254000000002</v>
      </c>
      <c r="AG343" s="656">
        <f t="shared" si="880"/>
        <v>63.198846000000003</v>
      </c>
      <c r="AH343" s="656">
        <f t="shared" si="880"/>
        <v>67.728674999999996</v>
      </c>
      <c r="AI343" s="656">
        <f t="shared" si="880"/>
        <v>70.134037000000006</v>
      </c>
      <c r="AJ343" s="656">
        <f t="shared" si="880"/>
        <v>69.421307999999996</v>
      </c>
      <c r="AK343" s="1205">
        <f t="shared" si="880"/>
        <v>69.421307999999996</v>
      </c>
      <c r="AL343" s="656">
        <f t="shared" si="881" ref="AL343:AQ343">ROUND(INDEX(MO_BSS_TotalCommonEquity,0,COLUMN())/INDEX(MO_RIS_ShareCount_EoPB,0,COLUMN()),6)</f>
        <v>56.185569000000001</v>
      </c>
      <c r="AM343" s="656">
        <f t="shared" si="881"/>
        <v>69.095883000000001</v>
      </c>
      <c r="AN343" s="656">
        <f t="shared" si="881"/>
        <v>72.650948999999997</v>
      </c>
      <c r="AO343" s="656">
        <f t="shared" si="881"/>
        <v>78.626215999999999</v>
      </c>
      <c r="AP343" s="1205">
        <f t="shared" si="881"/>
        <v>78.626215999999999</v>
      </c>
      <c r="AQ343" s="656">
        <f t="shared" si="881"/>
        <v>78.530591000000001</v>
      </c>
      <c r="AR343" s="656">
        <f t="shared" si="882" ref="AR343:AW343">ROUND(INDEX(MO_BSS_TotalCommonEquity,0,COLUMN())/INDEX(MO_RIS_ShareCount_EoPB,0,COLUMN()),6)</f>
        <v>66.116579999999999</v>
      </c>
      <c r="AS343" s="656">
        <f t="shared" si="882"/>
        <v>61.796095999999999</v>
      </c>
      <c r="AT343" s="656">
        <f t="shared" si="882"/>
        <v>59.019559000000001</v>
      </c>
      <c r="AU343" s="1205">
        <f t="shared" si="882"/>
        <v>59.019559000000001</v>
      </c>
      <c r="AV343" s="656">
        <f t="shared" si="882"/>
        <v>56.813622000000002</v>
      </c>
      <c r="AW343" s="656">
        <f t="shared" si="882"/>
        <v>47.760379999999998</v>
      </c>
      <c r="AX343" s="656">
        <f t="shared" si="883" ref="AX343:BJ343">ROUND(INDEX(MO_BSS_TotalCommonEquity,0,COLUMN())/INDEX(MO_RIS_ShareCount_EoPB,0,COLUMN()),6)</f>
        <v>46.182474999999997</v>
      </c>
      <c r="AY343" s="656">
        <f t="shared" si="883"/>
        <v>47.558684999999997</v>
      </c>
      <c r="AZ343" s="1205">
        <f t="shared" si="883"/>
        <v>47.556449000000001</v>
      </c>
      <c r="BA343" s="656">
        <f t="shared" si="884" ref="BA343:BI343">ROUND(INDEX(MO_BSS_TotalCommonEquity,0,COLUMN())/INDEX(MO_RIS_ShareCount_EoPB,0,COLUMN()),6)</f>
        <v>46.271075000000003</v>
      </c>
      <c r="BB343" s="656">
        <f t="shared" si="884"/>
        <v>47.054526000000003</v>
      </c>
      <c r="BC343" s="656">
        <f t="shared" si="884"/>
        <v>47.316412999999997</v>
      </c>
      <c r="BD343" s="656">
        <f t="shared" si="884"/>
        <v>50.911208000000002</v>
      </c>
      <c r="BE343" s="1205">
        <f t="shared" si="884"/>
        <v>50.911208000000002</v>
      </c>
      <c r="BF343" s="656">
        <f>ROUND(INDEX(MO_BSS_TotalCommonEquity,0,COLUMN())/INDEX(MO_RIS_ShareCount_EoPB,0,COLUMN()),6)</f>
        <v>50.562052999999999</v>
      </c>
      <c r="BG343" s="656">
        <f>ROUND(INDEX(MO_BSS_TotalCommonEquity,0,COLUMN())/INDEX(MO_RIS_ShareCount_EoPB,0,COLUMN()),6)</f>
        <v>52.254384000000002</v>
      </c>
      <c r="BH343" s="965">
        <f>ROUND(INDEX(MO_BSS_TotalCommonEquity,0,COLUMN())/INDEX(MO_RIS_ShareCount_EoPB,0,COLUMN()),6)</f>
        <v>56.098745000000001</v>
      </c>
      <c r="BI343" s="761">
        <f t="shared" ca="1" si="884"/>
        <v>55.058219000000001</v>
      </c>
      <c r="BJ343" s="1206">
        <f t="shared" ca="1" si="883"/>
        <v>55.058219000000001</v>
      </c>
      <c r="BK343" s="761">
        <f ca="1" t="shared" si="885" ref="BK343:BR343">ROUND(INDEX(MO_BSS_TotalCommonEquity,0,COLUMN())/INDEX(MO_RIS_ShareCount_EoPB,0,COLUMN()),6)</f>
        <v>57.753808999999997</v>
      </c>
      <c r="BL343" s="761">
        <f t="shared" ca="1" si="885"/>
        <v>60.049159000000003</v>
      </c>
      <c r="BM343" s="761">
        <f t="shared" ca="1" si="885"/>
        <v>62.583348000000001</v>
      </c>
      <c r="BN343" s="761">
        <f t="shared" ca="1" si="885"/>
        <v>65.801074999999997</v>
      </c>
      <c r="BO343" s="1206">
        <f t="shared" ca="1" si="885"/>
        <v>65.801074999999997</v>
      </c>
      <c r="BP343" s="1207">
        <f t="shared" ca="1" si="885"/>
        <v>77.646906999999999</v>
      </c>
      <c r="BQ343" s="1207">
        <f t="shared" ca="1" si="885"/>
        <v>93.086108999999993</v>
      </c>
      <c r="BR343" s="1206">
        <f t="shared" ca="1" si="885"/>
        <v>109.37665200000001</v>
      </c>
      <c r="BS343" s="34"/>
    </row>
    <row r="344" spans="1:71" s="685" customFormat="1" ht="15">
      <c r="A344" s="60" t="str">
        <f>CONCATENATE("Consensus Estimates - ",IFERROR(LEFT(A343,FIND("(",A343)-1),A343))</f>
        <v>Consensus Estimates - Book Value per Common Share</v>
      </c>
      <c r="B344" s="167"/>
      <c r="C344" s="1208"/>
      <c r="D344" s="1208"/>
      <c r="E344" s="1208"/>
      <c r="F344" s="1208"/>
      <c r="G344" s="1208"/>
      <c r="H344" s="316"/>
      <c r="I344" s="316"/>
      <c r="J344" s="316"/>
      <c r="K344" s="316"/>
      <c r="L344" s="1208"/>
      <c r="M344" s="316"/>
      <c r="N344" s="316"/>
      <c r="O344" s="316"/>
      <c r="P344" s="316"/>
      <c r="Q344" s="1208"/>
      <c r="R344" s="316"/>
      <c r="S344" s="326"/>
      <c r="T344" s="316"/>
      <c r="U344" s="316"/>
      <c r="V344" s="1208"/>
      <c r="W344" s="316"/>
      <c r="X344" s="326"/>
      <c r="Y344" s="316"/>
      <c r="Z344" s="316"/>
      <c r="AA344" s="1208"/>
      <c r="AB344" s="316"/>
      <c r="AC344" s="326"/>
      <c r="AD344" s="316"/>
      <c r="AE344" s="316"/>
      <c r="AF344" s="1208"/>
      <c r="AG344" s="316"/>
      <c r="AH344" s="326"/>
      <c r="AI344" s="316"/>
      <c r="AJ344" s="316"/>
      <c r="AK344" s="1208"/>
      <c r="AL344" s="316"/>
      <c r="AM344" s="326"/>
      <c r="AN344" s="316"/>
      <c r="AO344" s="316"/>
      <c r="AP344" s="1208"/>
      <c r="AQ344" s="316"/>
      <c r="AR344" s="326"/>
      <c r="AS344" s="316"/>
      <c r="AT344" s="316"/>
      <c r="AU344" s="1208"/>
      <c r="AV344" s="316"/>
      <c r="AW344" s="326"/>
      <c r="AX344" s="316"/>
      <c r="AY344" s="316"/>
      <c r="AZ344" s="1208"/>
      <c r="BA344" s="316"/>
      <c r="BB344" s="326"/>
      <c r="BC344" s="316"/>
      <c r="BD344" s="316"/>
      <c r="BE344" s="1208"/>
      <c r="BF344" s="316"/>
      <c r="BG344" s="326"/>
      <c r="BH344" s="942"/>
      <c r="BI344" s="927" t="str">
        <f ca="1" t="shared" si="886" ref="BI344:BO344">IFERROR(VLOOKUP($A344,tb_ConsensusEstimate,MATCH(BI$5,OFFSET(tb_ConsensusEstimate,0,0,1,COLUMNS(tb_ConsensusEstimate)),0),FALSE),"-")</f>
        <v>N/A</v>
      </c>
      <c r="BJ344" s="1209" t="str">
        <f t="shared" ca="1" si="886"/>
        <v>N/A</v>
      </c>
      <c r="BK344" s="927" t="str">
        <f t="shared" ca="1" si="886"/>
        <v>N/A</v>
      </c>
      <c r="BL344" s="927" t="str">
        <f t="shared" ca="1" si="886"/>
        <v>N/A</v>
      </c>
      <c r="BM344" s="927" t="str">
        <f t="shared" ca="1" si="886"/>
        <v>N/A</v>
      </c>
      <c r="BN344" s="927" t="str">
        <f t="shared" ca="1" si="886"/>
        <v>N/A</v>
      </c>
      <c r="BO344" s="1209" t="str">
        <f t="shared" ca="1" si="886"/>
        <v>N/A</v>
      </c>
      <c r="BP344" s="1210" t="str">
        <f ca="1">IFERROR(VLOOKUP($A344,tb_ConsensusEstimate,MATCH(BP5,OFFSET(tb_ConsensusEstimate,0,0,1,COLUMNS(tb_ConsensusEstimate)),0),FALSE),"-")</f>
        <v>N/A</v>
      </c>
      <c r="BQ344" s="1210" t="str">
        <f ca="1">IFERROR(VLOOKUP($A344,tb_ConsensusEstimate,MATCH(BQ5,OFFSET(tb_ConsensusEstimate,0,0,1,COLUMNS(tb_ConsensusEstimate)),0),FALSE),"-")</f>
        <v>N/A</v>
      </c>
      <c r="BR344" s="1209" t="str">
        <f ca="1">IFERROR(VLOOKUP($A344,tb_ConsensusEstimate,MATCH(BR5,OFFSET(tb_ConsensusEstimate,0,0,1,COLUMNS(tb_ConsensusEstimate)),0),FALSE),"-")</f>
        <v>N/A</v>
      </c>
      <c r="BS344" s="61"/>
    </row>
    <row r="345" spans="1:71" s="684" customFormat="1" ht="15">
      <c r="A345" s="47" t="s">
        <v>244</v>
      </c>
      <c r="B345" s="411"/>
      <c r="C345" s="1207"/>
      <c r="D345" s="1207"/>
      <c r="E345" s="1205">
        <f t="shared" si="887" ref="E345:AK345">ROUND(INDEX(MO_BSS_TangibleCommonEquity,0,COLUMN())/INDEX(MO_RIS_ShareCount_EoPB,0,COLUMN()),6)</f>
        <v>36.220033999999998</v>
      </c>
      <c r="F345" s="1205">
        <f t="shared" si="887"/>
        <v>40.043019999999999</v>
      </c>
      <c r="G345" s="1205">
        <f t="shared" si="887"/>
        <v>43.591245999999998</v>
      </c>
      <c r="H345" s="656">
        <f t="shared" si="887"/>
        <v>44.413935000000002</v>
      </c>
      <c r="I345" s="656">
        <f t="shared" si="887"/>
        <v>44.990743999999999</v>
      </c>
      <c r="J345" s="656">
        <f t="shared" si="887"/>
        <v>45.609175</v>
      </c>
      <c r="K345" s="656">
        <f t="shared" si="887"/>
        <v>45.822088000000001</v>
      </c>
      <c r="L345" s="1205">
        <f t="shared" si="887"/>
        <v>45.822088000000001</v>
      </c>
      <c r="M345" s="656">
        <f t="shared" si="887"/>
        <v>45.638815999999998</v>
      </c>
      <c r="N345" s="656">
        <f t="shared" si="887"/>
        <v>46.732702000000003</v>
      </c>
      <c r="O345" s="656">
        <f t="shared" si="887"/>
        <v>46.113939999999999</v>
      </c>
      <c r="P345" s="656">
        <f t="shared" si="887"/>
        <v>46.482143000000001</v>
      </c>
      <c r="Q345" s="1205">
        <f t="shared" si="887"/>
        <v>46.482143000000001</v>
      </c>
      <c r="R345" s="656">
        <f t="shared" si="887"/>
        <v>46.903230999999998</v>
      </c>
      <c r="S345" s="656">
        <f t="shared" si="887"/>
        <v>47.334235</v>
      </c>
      <c r="T345" s="656">
        <f t="shared" si="887"/>
        <v>48.886884000000002</v>
      </c>
      <c r="U345" s="656">
        <f t="shared" si="887"/>
        <v>50.434631000000003</v>
      </c>
      <c r="V345" s="1205">
        <f t="shared" si="887"/>
        <v>50.434631000000003</v>
      </c>
      <c r="W345" s="656">
        <f t="shared" si="887"/>
        <v>52.333742999999998</v>
      </c>
      <c r="X345" s="656">
        <f t="shared" si="887"/>
        <v>52.359321000000001</v>
      </c>
      <c r="Y345" s="656">
        <f t="shared" si="887"/>
        <v>55.078285000000001</v>
      </c>
      <c r="Z345" s="656">
        <f t="shared" si="887"/>
        <v>50.965466999999997</v>
      </c>
      <c r="AA345" s="1205">
        <f t="shared" si="887"/>
        <v>50.965466999999997</v>
      </c>
      <c r="AB345" s="656">
        <f t="shared" si="887"/>
        <v>52.091997999999997</v>
      </c>
      <c r="AC345" s="656">
        <f t="shared" si="887"/>
        <v>52.620285000000003</v>
      </c>
      <c r="AD345" s="656">
        <f t="shared" si="887"/>
        <v>54.636960999999999</v>
      </c>
      <c r="AE345" s="656">
        <f t="shared" si="887"/>
        <v>51.930905000000003</v>
      </c>
      <c r="AF345" s="1205">
        <f t="shared" si="887"/>
        <v>51.930905000000003</v>
      </c>
      <c r="AG345" s="656">
        <f t="shared" si="887"/>
        <v>55.144199999999998</v>
      </c>
      <c r="AH345" s="656">
        <f t="shared" si="887"/>
        <v>55.662072000000002</v>
      </c>
      <c r="AI345" s="656">
        <f t="shared" si="887"/>
        <v>56.819553999999997</v>
      </c>
      <c r="AJ345" s="656">
        <f t="shared" si="887"/>
        <v>56.919049999999999</v>
      </c>
      <c r="AK345" s="1205">
        <f t="shared" si="887"/>
        <v>56.919049999999999</v>
      </c>
      <c r="AL345" s="656">
        <f t="shared" si="888" ref="AL345:AQ345">ROUND(INDEX(MO_BSS_TangibleCommonEquity,0,COLUMN())/INDEX(MO_RIS_ShareCount_EoPB,0,COLUMN()),6)</f>
        <v>52.767901000000002</v>
      </c>
      <c r="AM345" s="656">
        <f t="shared" si="888"/>
        <v>54.196167000000003</v>
      </c>
      <c r="AN345" s="656">
        <f t="shared" si="888"/>
        <v>55.530994</v>
      </c>
      <c r="AO345" s="656">
        <f t="shared" si="888"/>
        <v>60.825583999999999</v>
      </c>
      <c r="AP345" s="1205">
        <f t="shared" si="888"/>
        <v>60.825583999999999</v>
      </c>
      <c r="AQ345" s="656">
        <f t="shared" si="888"/>
        <v>64.104927000000004</v>
      </c>
      <c r="AR345" s="656">
        <f t="shared" si="889" ref="AR345:AW345">ROUND(INDEX(MO_BSS_TangibleCommonEquity,0,COLUMN())/INDEX(MO_RIS_ShareCount_EoPB,0,COLUMN()),6)</f>
        <v>61.264961999999997</v>
      </c>
      <c r="AS345" s="656">
        <f t="shared" si="889"/>
        <v>57.279321000000003</v>
      </c>
      <c r="AT345" s="656">
        <f t="shared" si="889"/>
        <v>53.273041999999997</v>
      </c>
      <c r="AU345" s="1205">
        <f t="shared" si="889"/>
        <v>53.273041999999997</v>
      </c>
      <c r="AV345" s="656">
        <f t="shared" si="889"/>
        <v>54.028756000000001</v>
      </c>
      <c r="AW345" s="656">
        <f t="shared" si="889"/>
        <v>47.607716000000003</v>
      </c>
      <c r="AX345" s="656">
        <f t="shared" si="890" ref="AX345:BJ345">ROUND(INDEX(MO_BSS_TangibleCommonEquity,0,COLUMN())/INDEX(MO_RIS_ShareCount_EoPB,0,COLUMN()),6)</f>
        <v>48.836910000000003</v>
      </c>
      <c r="AY345" s="656">
        <f t="shared" si="890"/>
        <v>49.577464999999997</v>
      </c>
      <c r="AZ345" s="1205">
        <f t="shared" si="890"/>
        <v>49.575133999999998</v>
      </c>
      <c r="BA345" s="656">
        <f t="shared" si="891" ref="BA345:BI345">ROUND(INDEX(MO_BSS_TangibleCommonEquity,0,COLUMN())/INDEX(MO_RIS_ShareCount_EoPB,0,COLUMN()),6)</f>
        <v>47.245573999999998</v>
      </c>
      <c r="BB345" s="656">
        <f t="shared" si="891"/>
        <v>48.810380000000002</v>
      </c>
      <c r="BC345" s="656">
        <f t="shared" si="891"/>
        <v>47.708635999999998</v>
      </c>
      <c r="BD345" s="656">
        <f t="shared" si="891"/>
        <v>48.352496000000002</v>
      </c>
      <c r="BE345" s="1205">
        <f t="shared" si="891"/>
        <v>48.352496000000002</v>
      </c>
      <c r="BF345" s="656">
        <f>ROUND(INDEX(MO_BSS_TangibleCommonEquity,0,COLUMN())/INDEX(MO_RIS_ShareCount_EoPB,0,COLUMN()),6)</f>
        <v>47.759675000000001</v>
      </c>
      <c r="BG345" s="656">
        <f>ROUND(INDEX(MO_BSS_TangibleCommonEquity,0,COLUMN())/INDEX(MO_RIS_ShareCount_EoPB,0,COLUMN()),6)</f>
        <v>49.644049000000003</v>
      </c>
      <c r="BH345" s="965">
        <f>ROUND(INDEX(MO_BSS_TangibleCommonEquity,0,COLUMN())/INDEX(MO_RIS_ShareCount_EoPB,0,COLUMN()),6)</f>
        <v>51.284833999999996</v>
      </c>
      <c r="BI345" s="761">
        <f t="shared" ca="1" si="891"/>
        <v>50.244307999999997</v>
      </c>
      <c r="BJ345" s="1206">
        <f t="shared" ca="1" si="890"/>
        <v>50.244307999999997</v>
      </c>
      <c r="BK345" s="761">
        <f ca="1" t="shared" si="892" ref="BK345:BR345">ROUND(INDEX(MO_BSS_TangibleCommonEquity,0,COLUMN())/INDEX(MO_RIS_ShareCount_EoPB,0,COLUMN()),6)</f>
        <v>52.939897999999999</v>
      </c>
      <c r="BL345" s="761">
        <f t="shared" ca="1" si="892"/>
        <v>55.235247999999999</v>
      </c>
      <c r="BM345" s="761">
        <f t="shared" ca="1" si="892"/>
        <v>57.769437000000003</v>
      </c>
      <c r="BN345" s="761">
        <f t="shared" ca="1" si="892"/>
        <v>60.987164</v>
      </c>
      <c r="BO345" s="1206">
        <f t="shared" ca="1" si="892"/>
        <v>60.987164</v>
      </c>
      <c r="BP345" s="1207">
        <f t="shared" ca="1" si="892"/>
        <v>72.832995999999994</v>
      </c>
      <c r="BQ345" s="1207">
        <f t="shared" ca="1" si="892"/>
        <v>88.272198000000003</v>
      </c>
      <c r="BR345" s="1206">
        <f t="shared" ca="1" si="892"/>
        <v>104.562741</v>
      </c>
      <c r="BS345" s="34"/>
    </row>
    <row r="346" spans="1:71" s="677" customFormat="1" ht="15">
      <c r="A346" s="529"/>
      <c r="B346" s="524"/>
      <c r="C346" s="1177"/>
      <c r="D346" s="1177"/>
      <c r="E346" s="1177"/>
      <c r="F346" s="1177"/>
      <c r="G346" s="1177"/>
      <c r="H346" s="786"/>
      <c r="I346" s="786"/>
      <c r="J346" s="786"/>
      <c r="K346" s="786"/>
      <c r="L346" s="1177"/>
      <c r="M346" s="786"/>
      <c r="N346" s="786"/>
      <c r="O346" s="786"/>
      <c r="P346" s="786"/>
      <c r="Q346" s="1177"/>
      <c r="R346" s="786"/>
      <c r="S346" s="786"/>
      <c r="T346" s="786"/>
      <c r="U346" s="786"/>
      <c r="V346" s="1177"/>
      <c r="W346" s="786"/>
      <c r="X346" s="786"/>
      <c r="Y346" s="786"/>
      <c r="Z346" s="786"/>
      <c r="AA346" s="1177"/>
      <c r="AB346" s="786"/>
      <c r="AC346" s="786"/>
      <c r="AD346" s="786"/>
      <c r="AE346" s="786"/>
      <c r="AF346" s="1177"/>
      <c r="AG346" s="786"/>
      <c r="AH346" s="786"/>
      <c r="AI346" s="786"/>
      <c r="AJ346" s="786"/>
      <c r="AK346" s="1177"/>
      <c r="AL346" s="786"/>
      <c r="AM346" s="786"/>
      <c r="AN346" s="786"/>
      <c r="AO346" s="786"/>
      <c r="AP346" s="1177"/>
      <c r="AQ346" s="786"/>
      <c r="AR346" s="786"/>
      <c r="AS346" s="786"/>
      <c r="AT346" s="786"/>
      <c r="AU346" s="1177"/>
      <c r="AV346" s="786"/>
      <c r="AW346" s="786"/>
      <c r="AX346" s="786"/>
      <c r="AY346" s="786"/>
      <c r="AZ346" s="1177"/>
      <c r="BA346" s="786"/>
      <c r="BB346" s="786"/>
      <c r="BC346" s="786"/>
      <c r="BD346" s="786"/>
      <c r="BE346" s="1177"/>
      <c r="BF346" s="786"/>
      <c r="BG346" s="786"/>
      <c r="BH346" s="887"/>
      <c r="BI346" s="59"/>
      <c r="BJ346" s="1184"/>
      <c r="BK346" s="59"/>
      <c r="BL346" s="59"/>
      <c r="BM346" s="59"/>
      <c r="BN346" s="59"/>
      <c r="BO346" s="1184"/>
      <c r="BP346" s="1177"/>
      <c r="BQ346" s="1177"/>
      <c r="BR346" s="1184"/>
      <c r="BS346" s="31"/>
    </row>
    <row r="347" spans="1:71" s="679" customFormat="1" ht="15">
      <c r="A347" s="23" t="s">
        <v>478</v>
      </c>
      <c r="B347" s="530"/>
      <c r="C347" s="1237"/>
      <c r="D347" s="1237"/>
      <c r="E347" s="1238">
        <f>E285/AVERAGE(D553,E553)*(E$3/E$3)</f>
        <v>0.010047151103864628</v>
      </c>
      <c r="F347" s="1238">
        <f>F285/AVERAGE(E553,F553)*(F$3/F$3)</f>
        <v>0.013011771920702849</v>
      </c>
      <c r="G347" s="1238">
        <f>G285/AVERAGE(F553,G553)*(G$3/G$3)</f>
        <v>0.011592704718304659</v>
      </c>
      <c r="H347" s="318">
        <f>H285*(L$3/H$3)/AVERAGE(G553,H553)</f>
        <v>0.0098453214754757358</v>
      </c>
      <c r="I347" s="318">
        <f>I285*(L$3/I$3)/AVERAGE(H553,I553)</f>
        <v>0.0096491310108331382</v>
      </c>
      <c r="J347" s="318">
        <f>J285*(L$3/J$3)/AVERAGE(I553,J553)</f>
        <v>0.01001484960458611</v>
      </c>
      <c r="K347" s="318">
        <f>K285*(L$3/K$3)/AVERAGE(J553,K553)</f>
        <v>0.01071048488424913</v>
      </c>
      <c r="L347" s="1238">
        <f>L285/AVERAGE(G553,H553,I553,J553,K553)*(L$3/L$3)</f>
        <v>0.010075836272118912</v>
      </c>
      <c r="M347" s="318">
        <f>M285*(Q$3/M$3)/AVERAGE(L553,M553)</f>
        <v>0.0016079705255640649</v>
      </c>
      <c r="N347" s="318">
        <f>N285*(Q$3/N$3)/AVERAGE(M553,N553)</f>
        <v>0.011573593855571938</v>
      </c>
      <c r="O347" s="318">
        <f>O285*(Q$3/O$3)/AVERAGE(N553,O553)</f>
        <v>0.0049998630174515769</v>
      </c>
      <c r="P347" s="318">
        <f>P285*(Q$3/P$3)/AVERAGE(O553,P553)</f>
        <v>0.010195698513075873</v>
      </c>
      <c r="Q347" s="1238">
        <f>Q285/AVERAGE(L553,M553,N553,O553,P553)*(Q$3/Q$3)</f>
        <v>0.0071643735243832937</v>
      </c>
      <c r="R347" s="318">
        <f>R285*(V$3/R$3)/AVERAGE(Q553,R553)</f>
        <v>0.0080539237713958909</v>
      </c>
      <c r="S347" s="318">
        <f>S285*(V$3/S$3)/AVERAGE(R553,S553)</f>
        <v>0.0041858864844091931</v>
      </c>
      <c r="T347" s="318">
        <f>T285*(V$3/T$3)/AVERAGE(S553,T553)</f>
        <v>0.0080616935578391256</v>
      </c>
      <c r="U347" s="318">
        <f>U285*(V$3/U$3)/AVERAGE(T553,U553)</f>
        <v>0.02786885440437073</v>
      </c>
      <c r="V347" s="1238">
        <f>V285/AVERAGE(Q553,R553,S553,T553,U553)*(V$3/V$3)</f>
        <v>0.012313822218005881</v>
      </c>
      <c r="W347" s="318">
        <f>W285*(AA$3/W$3)/AVERAGE(V553,W553)</f>
        <v>0.011027582284779982</v>
      </c>
      <c r="X347" s="318">
        <f>X285*(AA$3/X$3)/AVERAGE(W553,X553)</f>
        <v>0.01002038914893621</v>
      </c>
      <c r="Y347" s="318">
        <f>Y285*(AA$3/Y$3)/AVERAGE(X553,Y553)</f>
        <v>0.00073481961505335173</v>
      </c>
      <c r="Z347" s="318">
        <f>Z285*(AA$3/Z$3)/AVERAGE(Y553,Z553)</f>
        <v>0.010901862367001417</v>
      </c>
      <c r="AA347" s="1238">
        <f>AA285/AVERAGE(V553,W553,X553,Y553,Z553)*(AA$3/AA$3)</f>
        <v>0.0081342580700402428</v>
      </c>
      <c r="AB347" s="318">
        <f>AB285*(AF$3/AB$3)/AVERAGE(AA553,AB553)</f>
        <v>0.0096947682139828135</v>
      </c>
      <c r="AC347" s="318">
        <f>AC285*(AF$3/AC$3)/AVERAGE(AB553,AC553)</f>
        <v>0.013753085024209197</v>
      </c>
      <c r="AD347" s="318">
        <f>AD285*(AF$3/AD$3)/AVERAGE(AC553,AD553)</f>
        <v>0.012844344348488487</v>
      </c>
      <c r="AE347" s="318">
        <f>AE285*(AF$3/AE$3)/AVERAGE(AD553,AE553)</f>
        <v>-0.0018027098040845299</v>
      </c>
      <c r="AF347" s="1238">
        <f>AF285/AVERAGE(AA553,AB553,AC553,AD553,AE553)*(AF$3/AF$3)</f>
        <v>0.0085265481315598118</v>
      </c>
      <c r="AG347" s="318">
        <f>AG285*(AK$3/AG$3)/AVERAGE(AF553,AG553)</f>
        <v>0.020592613170629652</v>
      </c>
      <c r="AH347" s="318">
        <f>AH285*(AK$3/AH$3)/AVERAGE(AG553,AH553)</f>
        <v>0.01258782016315884</v>
      </c>
      <c r="AI347" s="318">
        <f>AI285*(AK$3/AI$3)/AVERAGE(AH553,AI553)</f>
        <v>0.0085286555195684607</v>
      </c>
      <c r="AJ347" s="318">
        <f>AJ285*(AK$3/AJ$3)/AVERAGE(AI553,AJ553)</f>
        <v>0.012027839180691989</v>
      </c>
      <c r="AK347" s="1238">
        <f>AK285/AVERAGE(AF553,AG553,AH553,AI553,AJ553)*(AK$3/AK$3)</f>
        <v>0.013329093383895723</v>
      </c>
      <c r="AL347" s="318">
        <f>AL285*(AP$3/AL$3)/AVERAGE(AK553,AL553)</f>
        <v>-0.017574058554511909</v>
      </c>
      <c r="AM347" s="318">
        <f>AM285*(AP$3/AM$3)/AVERAGE(AL553,AM553)</f>
        <v>0.010279259402066419</v>
      </c>
      <c r="AN347" s="318">
        <f>AN285*(AP$3/AN$3)/AVERAGE(AM553,AN553)</f>
        <v>0.0090630417720704778</v>
      </c>
      <c r="AO347" s="318">
        <f>AO285*(AP$3/AO$3)/AVERAGE(AN553,AO553)</f>
        <v>0.03753792742833361</v>
      </c>
      <c r="AP347" s="1238">
        <f>AP285/AVERAGE(AK553,AL553,AM553,AN553,AO553)*(AP$3/AP$3)</f>
        <v>0.010300690089948102</v>
      </c>
      <c r="AQ347" s="318">
        <f>AQ285*(AU$3/AQ$3)/AVERAGE(AP553,AQ553)</f>
        <v>0.023000044365338788</v>
      </c>
      <c r="AR347" s="318">
        <f>AR285*(AU$3/AR$3)/AVERAGE(AQ553,AR553)</f>
        <v>0.078056478417724132</v>
      </c>
      <c r="AS347" s="318">
        <f>AS285*(AU$3/AS$3)/AVERAGE(AR553,AS553)</f>
        <v>0.029592271913496608</v>
      </c>
      <c r="AT347" s="318">
        <f>AT285*(AU$3/AT$3)/AVERAGE(AS553,AT553)</f>
        <v>0.047839673682290661</v>
      </c>
      <c r="AU347" s="1238">
        <f>AU285/AVERAGE(AP553,AQ553,AR553,AS553,AT553)*(AU$3/AU$3)</f>
        <v>0.042370361560418644</v>
      </c>
      <c r="AV347" s="318">
        <f>AV285*(AZ$3/AV$3)/AVERAGE(AU553,AV553)</f>
        <v>0.040765709818239237</v>
      </c>
      <c r="AW347" s="318">
        <f>AW285*(AZ$3/AW$3)/AVERAGE(AV553,AW553)</f>
        <v>0.023566659565674448</v>
      </c>
      <c r="AX347" s="318">
        <f>AX285*(AZ$3/AX$3)/AVERAGE(AW553,AX553)</f>
        <v>0.022723533921736719</v>
      </c>
      <c r="AY347" s="318">
        <f>AY285*(AZ$3/AY$3)/AVERAGE(AX553,AY553)</f>
        <v>0.037523773623699949</v>
      </c>
      <c r="AZ347" s="1238">
        <f>AZ285/AVERAGE(AU553,AV553,AW553,AX553,AY553)*(AZ$3/AZ$3)</f>
        <v>0.031148541776507482</v>
      </c>
      <c r="BA347" s="318">
        <f>BA285*(BE$3/BA$3)/AVERAGE(AZ553,BA553)</f>
        <v>0.030003412122340093</v>
      </c>
      <c r="BB347" s="318">
        <f>BB285*(BE$3/BB$3)/AVERAGE(BA553,BB553)</f>
        <v>0.027888466762773633</v>
      </c>
      <c r="BC347" s="318">
        <f>BC285*(BE$3/BC$3)/AVERAGE(BB553,BC553)</f>
        <v>0.023457259895764877</v>
      </c>
      <c r="BD347" s="318">
        <f>BD285*(BE$3/BD$3)/AVERAGE(BC553,BD553)</f>
        <v>0.034429615028162025</v>
      </c>
      <c r="BE347" s="1238">
        <f>BE285/AVERAGE(AZ553,BA553,BB553,BC553,BD553)*(BE$3/BE$3)</f>
        <v>0.02898511281060338</v>
      </c>
      <c r="BF347" s="318">
        <f>BF285*(BJ$3/BF$3)/AVERAGE(BE553,BF553)</f>
        <v>0.032558997836311013</v>
      </c>
      <c r="BG347" s="318">
        <f>BG285*(BJ$3/BG$3)/AVERAGE(BF553,BG553)</f>
        <v>0.028059999552472098</v>
      </c>
      <c r="BH347" s="897">
        <f>BH285*(BJ$3/BH$3)/AVERAGE(BG553,BH553)</f>
        <v>0.023040612357330872</v>
      </c>
      <c r="BI347" s="763">
        <f ca="1">BI285*(BJ$3/BI$3)/AVERAGE(BH553,BI553)</f>
        <v>0.038350172252804515</v>
      </c>
      <c r="BJ347" s="1239">
        <f ca="1">BJ285/AVERAGE(BE553,BF553,BG553,BH553,BI553)*(BJ$3/BJ$3)</f>
        <v>0.030533346653075777</v>
      </c>
      <c r="BK347" s="763">
        <f ca="1">BK285*(BO$3/BK$3)/AVERAGE(BJ553,BK553)</f>
        <v>0.035845212610062654</v>
      </c>
      <c r="BL347" s="763">
        <f ca="1">BL285*(BO$3/BL$3)/AVERAGE(BK553,BL553)</f>
        <v>0.030770769605282675</v>
      </c>
      <c r="BM347" s="763">
        <f ca="1">BM285*(BO$3/BM$3)/AVERAGE(BL553,BM553)</f>
        <v>0.032016982368086942</v>
      </c>
      <c r="BN347" s="763">
        <f ca="1">BN285*(BO$3/BN$3)/AVERAGE(BM553,BN553)</f>
        <v>0.037678757899842499</v>
      </c>
      <c r="BO347" s="1239">
        <f ca="1">BO285/AVERAGE(BJ553,BK553,BL553,BM553,BN553)*(BO$3/BO$3)</f>
        <v>0.034095227165591754</v>
      </c>
      <c r="BP347" s="1237">
        <f ca="1">BP285/AVERAGE(BO553,BP553)*(BP3/BP3)</f>
        <v>0.033709523818222092</v>
      </c>
      <c r="BQ347" s="1237">
        <f ca="1">BQ285/AVERAGE(BP553,BQ553)*(BQ3/BQ3)</f>
        <v>0.038245767172740468</v>
      </c>
      <c r="BR347" s="1239">
        <f ca="1">BR285/AVERAGE(BQ553,BR553)*(BR3/BR3)</f>
        <v>0.036597981484743372</v>
      </c>
      <c r="BS347" s="35"/>
    </row>
    <row r="348" spans="1:71" s="679" customFormat="1" ht="15">
      <c r="A348" s="23" t="s">
        <v>479</v>
      </c>
      <c r="B348" s="530"/>
      <c r="C348" s="1237"/>
      <c r="D348" s="1237"/>
      <c r="E348" s="1238">
        <f>E285/AVERAGE(D337,E337)*(E$3/E$3)</f>
        <v>0.080698442661632841</v>
      </c>
      <c r="F348" s="1238">
        <f>F285/AVERAGE(E337,F337)*(F$3/F$3)</f>
        <v>0.11165770506807002</v>
      </c>
      <c r="G348" s="1238">
        <f>G285/AVERAGE(F337,G337)*(G$3/G$3)</f>
        <v>0.10405390478294488</v>
      </c>
      <c r="H348" s="318">
        <f>(H285*(L$3/H$3))/AVERAGE(G337,H337)</f>
        <v>0.089861723614547112</v>
      </c>
      <c r="I348" s="318">
        <f>(I285*(L$3/I$3))/AVERAGE(H337,I337)</f>
        <v>0.087653816135415966</v>
      </c>
      <c r="J348" s="318">
        <f>(J285*(L$3/J$3))/AVERAGE(I337,J337)</f>
        <v>0.093388269339356289</v>
      </c>
      <c r="K348" s="318">
        <f>(K285*(L$3/K$3))/AVERAGE(J337,K337)</f>
        <v>0.10300699083147785</v>
      </c>
      <c r="L348" s="1238">
        <f>L285/AVERAGE(G337,H337,I337,J337,K337)*(L$3/L$3)</f>
        <v>0.094033452608804191</v>
      </c>
      <c r="M348" s="318">
        <f>(M285*(Q$3/M$3))/AVERAGE(L337,M337)</f>
        <v>0.015719207579672698</v>
      </c>
      <c r="N348" s="318">
        <f>(N285*(Q$3/N$3))/AVERAGE(M337,N337)</f>
        <v>0.11630837029294612</v>
      </c>
      <c r="O348" s="318">
        <f>(O285*(Q$3/O$3))/AVERAGE(N337,O337)</f>
        <v>0.052476517357529513</v>
      </c>
      <c r="P348" s="318">
        <f>(P285*(Q$3/P$3))/AVERAGE(O337,P337)</f>
        <v>0.1098740829241884</v>
      </c>
      <c r="Q348" s="1238">
        <f>Q285/AVERAGE(L337,M337,N337,O337,P337)*(Q$3/Q$3)</f>
        <v>0.073572443775604054</v>
      </c>
      <c r="R348" s="318">
        <f>(R285*(V$3/R$3))/AVERAGE(Q337,R337)</f>
        <v>0.086919820310212947</v>
      </c>
      <c r="S348" s="318">
        <f>(S285*(V$3/S$3))/AVERAGE(R337,S337)</f>
        <v>0.0445283061377372</v>
      </c>
      <c r="T348" s="318">
        <f>(T285*(V$3/T$3))/AVERAGE(S337,T337)</f>
        <v>0.0853519210279714</v>
      </c>
      <c r="U348" s="318">
        <f>(U285*(V$3/U$3))/AVERAGE(T337,U337)</f>
        <v>0.30398539938128583</v>
      </c>
      <c r="V348" s="1238">
        <f>V285/AVERAGE(Q337,R337,S337,T337,U337)*(V$3/V$3)</f>
        <v>0.13286112020962987</v>
      </c>
      <c r="W348" s="318">
        <f>(W285*(AA$3/W$3))/AVERAGE(V337,W337)</f>
        <v>0.12278618779064016</v>
      </c>
      <c r="X348" s="318">
        <f>(X285*(AA$3/X$3))/AVERAGE(W337,X337)</f>
        <v>0.11074805419278427</v>
      </c>
      <c r="Y348" s="318">
        <f>(Y285*(AA$3/Y$3))/AVERAGE(X337,Y337)</f>
        <v>0.008164120166088501</v>
      </c>
      <c r="Z348" s="318">
        <f>(Z285*(AA$3/Z$3))/AVERAGE(Y337,Z337)</f>
        <v>0.1229969103598355</v>
      </c>
      <c r="AA348" s="1238">
        <f>AA285/AVERAGE(V337,W337,X337,Y337,Z337)*(AA$3/AA$3)</f>
        <v>0.09089865278628291</v>
      </c>
      <c r="AB348" s="318">
        <f>(AB285*(AF$3/AB$3))/AVERAGE(AA337,AB337)</f>
        <v>0.11187207372882252</v>
      </c>
      <c r="AC348" s="318">
        <f>(AC285*(AF$3/AC$3))/AVERAGE(AB337,AC337)</f>
        <v>0.16408058679413504</v>
      </c>
      <c r="AD348" s="318">
        <f>(AD285*(AF$3/AD$3))/AVERAGE(AC337,AD337)</f>
        <v>0.15795234701150596</v>
      </c>
      <c r="AE348" s="318">
        <f>(AE285*(AF$3/AE$3))/AVERAGE(AD337,AE337)</f>
        <v>-0.022706601110338849</v>
      </c>
      <c r="AF348" s="1238">
        <f>AF285/AVERAGE(AA337,AB337,AC337,AD337,AE337)*(AF$3/AF$3)</f>
        <v>0.10298861295713342</v>
      </c>
      <c r="AG348" s="318">
        <f>(AG285*(AK$3/AG$3))/AVERAGE(AF337,AG337)</f>
        <v>0.25092200804471604</v>
      </c>
      <c r="AH348" s="318">
        <f>(AH285*(AK$3/AH$3))/AVERAGE(AG337,AH337)</f>
        <v>0.14331053888688935</v>
      </c>
      <c r="AI348" s="318">
        <f>(AI285*(AK$3/AI$3))/AVERAGE(AH337,AI337)</f>
        <v>0.093982196718899444</v>
      </c>
      <c r="AJ348" s="318">
        <f>(AJ285*(AK$3/AJ$3))/AVERAGE(AI337,AJ337)</f>
        <v>0.13298166246503437</v>
      </c>
      <c r="AK348" s="1238">
        <f>AK285/AVERAGE(AF337,AG337,AH337,AI337,AJ337)*(AK$3/AK$3)</f>
        <v>0.15299334811529933</v>
      </c>
      <c r="AL348" s="318">
        <f>(AL285*(AP$3/AL$3))/AVERAGE(AK337,AL337)</f>
        <v>-0.21396525002039316</v>
      </c>
      <c r="AM348" s="318">
        <f>(AM285*(AP$3/AM$3))/AVERAGE(AL337,AM337)</f>
        <v>0.12743043227246217</v>
      </c>
      <c r="AN348" s="318">
        <f>(AN285*(AP$3/AN$3))/AVERAGE(AM337,AN337)</f>
        <v>0.10467427925697026</v>
      </c>
      <c r="AO348" s="318">
        <f>(AO285*(AP$3/AO$3))/AVERAGE(AN337,AO337)</f>
        <v>0.4193703285458345</v>
      </c>
      <c r="AP348" s="1238">
        <f>AP285/AVERAGE(AK337,AL337,AM337,AN337,AO337)*(AP$3/AP$3)</f>
        <v>0.11972130450426875</v>
      </c>
      <c r="AQ348" s="318">
        <f>(AQ285*(AU$3/AQ$3))/AVERAGE(AP337,AQ337)</f>
        <v>0.25223063348341662</v>
      </c>
      <c r="AR348" s="318">
        <f>(AR285*(AU$3/AR$3))/AVERAGE(AQ337,AR337)</f>
        <v>0.65424238792299994</v>
      </c>
      <c r="AS348" s="318">
        <f>(AS285*(AU$3/AS$3))/AVERAGE(AR337,AS337)</f>
        <v>0.16029124539289252</v>
      </c>
      <c r="AT348" s="318">
        <f>(AT285*(AU$3/AT$3))/AVERAGE(AS337,AT337)</f>
        <v>0.27476081019186077</v>
      </c>
      <c r="AU348" s="1238">
        <f>AU285/AVERAGE(AP337,AQ337,AR337,AS337,AT337)*(AU$3/AU$3)</f>
        <v>0.34013025539605146</v>
      </c>
      <c r="AV348" s="318">
        <f>(AV285*(AZ$3/AV$3))/AVERAGE(AU337,AV337)</f>
        <v>0.23887704094873791</v>
      </c>
      <c r="AW348" s="318">
        <f>(AW285*(AZ$3/AW$3))/AVERAGE(AV337,AW337)</f>
        <v>0.1504909379544293</v>
      </c>
      <c r="AX348" s="318">
        <f>(AX285*(AZ$3/AX$3))/AVERAGE(AW337,AX337)</f>
        <v>0.16367535072318823</v>
      </c>
      <c r="AY348" s="318">
        <f>(AY285*(AZ$3/AY$3))/AVERAGE(AX337,AY337)</f>
        <v>0.27429859719438876</v>
      </c>
      <c r="AZ348" s="1238">
        <f>AZ285/AVERAGE(AU337,AV337,AW337,AX337,AY337)*(AZ$3/AZ$3)</f>
        <v>0.205041556306512</v>
      </c>
      <c r="BA348" s="318">
        <f>(BA285*(BE$3/BA$3))/AVERAGE(AZ337,BA337)</f>
        <v>0.21513268554429568</v>
      </c>
      <c r="BB348" s="318">
        <f>(BB285*(BE$3/BB$3))/AVERAGE(BA337,BB337)</f>
        <v>0.2022177469618861</v>
      </c>
      <c r="BC348" s="318">
        <f>(BC285*(BE$3/BC$3))/AVERAGE(BB337,BC337)</f>
        <v>0.1761294860470442</v>
      </c>
      <c r="BD348" s="318">
        <f>(BD285*(BE$3/BD$3))/AVERAGE(BC337,BD337)</f>
        <v>0.25328897027393571</v>
      </c>
      <c r="BE348" s="1238">
        <f>BE285/AVERAGE(AZ337,BA337,BB337,BC337,BD337)*(BE$3/BE$3)</f>
        <v>0.21063040791100124</v>
      </c>
      <c r="BF348" s="318">
        <f>(BF285*(BJ$3/BF$3))/AVERAGE(BE337,BF337)</f>
        <v>0.22907005914772449</v>
      </c>
      <c r="BG348" s="318">
        <f>(BG285*(BJ$3/BG$3))/AVERAGE(BF337,BG337)</f>
        <v>0.19494281228975108</v>
      </c>
      <c r="BH348" s="897">
        <f>(BH285*(BJ$3/BH$3))/AVERAGE(BG337,BH337)</f>
        <v>0.15839534038524072</v>
      </c>
      <c r="BI348" s="763">
        <f ca="1">(BI285*(BJ$3/BI$3))/AVERAGE(BH337,BI337)</f>
        <v>0.26909996567594929</v>
      </c>
      <c r="BJ348" s="1239">
        <f ca="1">BJ285/AVERAGE(BE337,BF337,BG337,BH337,BI337)*(BJ$3/BJ$3)</f>
        <v>0.21330013125285902</v>
      </c>
      <c r="BK348" s="763">
        <f ca="1">(BK285*(BO$3/BK$3))/AVERAGE(BJ337,BK337)</f>
        <v>0.2513306604349928</v>
      </c>
      <c r="BL348" s="763">
        <f ca="1">(BL285*(BO$3/BL$3))/AVERAGE(BK337,BL337)</f>
        <v>0.21078272653568633</v>
      </c>
      <c r="BM348" s="763">
        <f ca="1">(BM285*(BO$3/BM$3))/AVERAGE(BL337,BM337)</f>
        <v>0.21573451910544378</v>
      </c>
      <c r="BN348" s="763">
        <f ca="1">(BN285*(BO$3/BN$3))/AVERAGE(BM337,BN337)</f>
        <v>0.24831508687475273</v>
      </c>
      <c r="BO348" s="1239">
        <f ca="1">BO285/AVERAGE(BJ337,BK337,BL337,BM337,BN337)*(BO$3/BO$3)</f>
        <v>0.23142007488815314</v>
      </c>
      <c r="BP348" s="1237">
        <f ca="1">BP285/AVERAGE(BO337,BP337)*(BP3/BP3)</f>
        <v>0.20977404755646992</v>
      </c>
      <c r="BQ348" s="1237">
        <f ca="1">BQ285/AVERAGE(BP337,BQ337)*(BQ3/BQ3)</f>
        <v>0.21834325982878153</v>
      </c>
      <c r="BR348" s="1239">
        <f ca="1">BR285/AVERAGE(BQ337,BR337)*(BR3/BR3)</f>
        <v>0.19253459738878356</v>
      </c>
      <c r="BS348" s="35"/>
    </row>
    <row r="349" spans="1:71" s="687" customFormat="1" ht="15">
      <c r="A349" s="63" t="str">
        <f>CONCATENATE("Consensus Estimates - ",IFERROR(LEFT(A348,FIND("(",A348)-1),A348))</f>
        <v>Consensus Estimates - Return on Average Common Equity, %</v>
      </c>
      <c r="B349" s="168"/>
      <c r="C349" s="1240"/>
      <c r="D349" s="1240"/>
      <c r="E349" s="1240"/>
      <c r="F349" s="1240"/>
      <c r="G349" s="1240"/>
      <c r="H349" s="319"/>
      <c r="I349" s="319"/>
      <c r="J349" s="319"/>
      <c r="K349" s="319"/>
      <c r="L349" s="1240"/>
      <c r="M349" s="319"/>
      <c r="N349" s="319"/>
      <c r="O349" s="319"/>
      <c r="P349" s="319"/>
      <c r="Q349" s="1240"/>
      <c r="R349" s="319"/>
      <c r="S349" s="319"/>
      <c r="T349" s="319"/>
      <c r="U349" s="319"/>
      <c r="V349" s="1240"/>
      <c r="W349" s="319"/>
      <c r="X349" s="319"/>
      <c r="Y349" s="319"/>
      <c r="Z349" s="319"/>
      <c r="AA349" s="1240"/>
      <c r="AB349" s="319"/>
      <c r="AC349" s="319"/>
      <c r="AD349" s="319"/>
      <c r="AE349" s="319"/>
      <c r="AF349" s="1240"/>
      <c r="AG349" s="319"/>
      <c r="AH349" s="319"/>
      <c r="AI349" s="319"/>
      <c r="AJ349" s="319"/>
      <c r="AK349" s="1240"/>
      <c r="AL349" s="319"/>
      <c r="AM349" s="319"/>
      <c r="AN349" s="319"/>
      <c r="AO349" s="319"/>
      <c r="AP349" s="1240"/>
      <c r="AQ349" s="319"/>
      <c r="AR349" s="319"/>
      <c r="AS349" s="319"/>
      <c r="AT349" s="319"/>
      <c r="AU349" s="1240"/>
      <c r="AV349" s="319"/>
      <c r="AW349" s="319"/>
      <c r="AX349" s="319"/>
      <c r="AY349" s="319"/>
      <c r="AZ349" s="1240"/>
      <c r="BA349" s="319"/>
      <c r="BB349" s="319"/>
      <c r="BC349" s="319"/>
      <c r="BD349" s="319"/>
      <c r="BE349" s="1240"/>
      <c r="BF349" s="319"/>
      <c r="BG349" s="319"/>
      <c r="BH349" s="898"/>
      <c r="BI349" s="928" t="str">
        <f ca="1" t="shared" si="893" ref="BI349:BO349">IFERROR(VLOOKUP($A349,tb_ConsensusEstimate,MATCH(BI$5,OFFSET(tb_ConsensusEstimate,0,0,1,COLUMNS(tb_ConsensusEstimate)),0),FALSE),"-")</f>
        <v>N/A</v>
      </c>
      <c r="BJ349" s="1241" t="str">
        <f t="shared" ca="1" si="893"/>
        <v>N/A</v>
      </c>
      <c r="BK349" s="928" t="str">
        <f t="shared" ca="1" si="893"/>
        <v>N/A</v>
      </c>
      <c r="BL349" s="928" t="str">
        <f t="shared" ca="1" si="893"/>
        <v>N/A</v>
      </c>
      <c r="BM349" s="928" t="str">
        <f t="shared" ca="1" si="893"/>
        <v>N/A</v>
      </c>
      <c r="BN349" s="928" t="str">
        <f t="shared" ca="1" si="893"/>
        <v>N/A</v>
      </c>
      <c r="BO349" s="1241" t="str">
        <f t="shared" ca="1" si="893"/>
        <v>N/A</v>
      </c>
      <c r="BP349" s="1242" t="str">
        <f ca="1">IFERROR(VLOOKUP($A349,tb_ConsensusEstimate,MATCH(BP5,OFFSET(tb_ConsensusEstimate,0,0,1,COLUMNS(tb_ConsensusEstimate)),0),FALSE),"-")</f>
        <v>N/A</v>
      </c>
      <c r="BQ349" s="1242" t="str">
        <f ca="1">IFERROR(VLOOKUP($A349,tb_ConsensusEstimate,MATCH(BQ5,OFFSET(tb_ConsensusEstimate,0,0,1,COLUMNS(tb_ConsensusEstimate)),0),FALSE),"-")</f>
        <v>N/A</v>
      </c>
      <c r="BR349" s="1241" t="str">
        <f ca="1">IFERROR(VLOOKUP($A349,tb_ConsensusEstimate,MATCH(BR5,OFFSET(tb_ConsensusEstimate,0,0,1,COLUMNS(tb_ConsensusEstimate)),0),FALSE),"-")</f>
        <v>N/A</v>
      </c>
      <c r="BS349" s="64"/>
    </row>
    <row r="350" spans="1:71" s="679" customFormat="1" ht="15">
      <c r="A350" s="23" t="s">
        <v>480</v>
      </c>
      <c r="B350" s="530"/>
      <c r="C350" s="1237"/>
      <c r="D350" s="1237"/>
      <c r="E350" s="1238">
        <f>E285/AVERAGE(D341,E341)*(E$3/E$3)</f>
        <v>0.096501128668171551</v>
      </c>
      <c r="F350" s="1238">
        <f>F285/AVERAGE(E341,F341)*(F$3/F$3)</f>
        <v>0.13732939355564935</v>
      </c>
      <c r="G350" s="1238">
        <f>G285/AVERAGE(F341,G341)*(G$3/G$3)</f>
        <v>0.1261888814467515</v>
      </c>
      <c r="H350" s="318">
        <f>(H285*(L$3/H$3))/AVERAGE(G341,H341)</f>
        <v>0.10600741586657079</v>
      </c>
      <c r="I350" s="318">
        <f>(I285*(L$3/I$3))/AVERAGE(H341,I341)</f>
        <v>0.10614525906000129</v>
      </c>
      <c r="J350" s="318">
        <f>(J285*(L$3/J$3))/AVERAGE(I341,J341)</f>
        <v>0.11408462848397317</v>
      </c>
      <c r="K350" s="318">
        <f>(K285*(L$3/K$3))/AVERAGE(J341,K341)</f>
        <v>0.12510457992605187</v>
      </c>
      <c r="L350" s="1238">
        <f>L285/AVERAGE(G341,H341,I341,J341,K341)*(L$3/L$3)</f>
        <v>0.11318108974358974</v>
      </c>
      <c r="M350" s="318">
        <f>(M285*(Q$3/M$3))/AVERAGE(L341,M341)</f>
        <v>0.019191919191919191</v>
      </c>
      <c r="N350" s="318">
        <f>(N285*(Q$3/N$3))/AVERAGE(M341,N341)</f>
        <v>0.13960736868660836</v>
      </c>
      <c r="O350" s="318">
        <f>(O285*(Q$3/O$3))/AVERAGE(N341,O341)</f>
        <v>0.061578135544201294</v>
      </c>
      <c r="P350" s="318">
        <f>(P285*(Q$3/P$3))/AVERAGE(O341,P341)</f>
        <v>0.12647806209338183</v>
      </c>
      <c r="Q350" s="1238">
        <f>Q285/AVERAGE(L341,M341,N341,O341,P341)*(Q$3/Q$3)</f>
        <v>0.087068368457504694</v>
      </c>
      <c r="R350" s="318">
        <f>(R285*(V$3/R$3))/AVERAGE(Q341,R341)</f>
        <v>0.099747030133770467</v>
      </c>
      <c r="S350" s="318">
        <f>(S285*(V$3/S$3))/AVERAGE(R341,S341)</f>
        <v>0.053037072817292599</v>
      </c>
      <c r="T350" s="318">
        <f>(T285*(V$3/T$3))/AVERAGE(S341,T341)</f>
        <v>0.10380142065412536</v>
      </c>
      <c r="U350" s="318">
        <f>(U285*(V$3/U$3))/AVERAGE(T341,U341)</f>
        <v>0.35503718933301082</v>
      </c>
      <c r="V350" s="1238">
        <f>V285/AVERAGE(Q341,R341,S341,T341,U341)*(V$3/V$3)</f>
        <v>0.15538211070676114</v>
      </c>
      <c r="W350" s="318">
        <f>(W285*(AA$3/W$3))/AVERAGE(V341,W341)</f>
        <v>0.13838090990187332</v>
      </c>
      <c r="X350" s="318">
        <f>(X285*(AA$3/X$3))/AVERAGE(W341,X341)</f>
        <v>0.12654338698725121</v>
      </c>
      <c r="Y350" s="318">
        <f>(Y285*(AA$3/Y$3))/AVERAGE(X341,Y341)</f>
        <v>0.0092264914054600612</v>
      </c>
      <c r="Z350" s="318">
        <f>(Z285*(AA$3/Z$3))/AVERAGE(Y341,Z341)</f>
        <v>0.14085915014901917</v>
      </c>
      <c r="AA350" s="1238">
        <f>AA285/AVERAGE(V341,W341,X341,Y341,Z341)*(AA$3/AA$3)</f>
        <v>0.10358965411959699</v>
      </c>
      <c r="AB350" s="318">
        <f>(AB285*(AF$3/AB$3))/AVERAGE(AA341,AB341)</f>
        <v>0.12883241440586166</v>
      </c>
      <c r="AC350" s="318">
        <f>(AC285*(AF$3/AC$3))/AVERAGE(AB341,AC341)</f>
        <v>0.1808109246125775</v>
      </c>
      <c r="AD350" s="318">
        <f>(AD285*(AF$3/AD$3))/AVERAGE(AC341,AD341)</f>
        <v>0.16931962888848462</v>
      </c>
      <c r="AE350" s="318">
        <f>(AE285*(AF$3/AE$3))/AVERAGE(AD341,AE341)</f>
        <v>-0.024196497965528276</v>
      </c>
      <c r="AF350" s="1238">
        <f>AF285/AVERAGE(AA341,AB341,AC341,AD341,AE341)*(AF$3/AF$3)</f>
        <v>0.11360713367058219</v>
      </c>
      <c r="AG350" s="318">
        <f>(AG285*(AK$3/AG$3))/AVERAGE(AF341,AG341)</f>
        <v>0.27855485966133142</v>
      </c>
      <c r="AH350" s="318">
        <f>(AH285*(AK$3/AH$3))/AVERAGE(AG341,AH341)</f>
        <v>0.16934211747239492</v>
      </c>
      <c r="AI350" s="318">
        <f>(AI285*(AK$3/AI$3))/AVERAGE(AH341,AI341)</f>
        <v>0.11518991146338742</v>
      </c>
      <c r="AJ350" s="318">
        <f>(AJ285*(AK$3/AJ$3))/AVERAGE(AI341,AJ341)</f>
        <v>0.16316529874620239</v>
      </c>
      <c r="AK350" s="1238">
        <f>AK285/AVERAGE(AF341,AG341,AH341,AI341,AJ341)*(AK$3/AK$3)</f>
        <v>0.18051195363438782</v>
      </c>
      <c r="AL350" s="318">
        <f>(AL285*(AP$3/AL$3))/AVERAGE(AK341,AL341)</f>
        <v>-0.24506384303955153</v>
      </c>
      <c r="AM350" s="318">
        <f>(AM285*(AP$3/AM$3))/AVERAGE(AL341,AM341)</f>
        <v>0.14916503088320793</v>
      </c>
      <c r="AN350" s="318">
        <f>(AN285*(AP$3/AN$3))/AVERAGE(AM341,AN341)</f>
        <v>0.13520563311754133</v>
      </c>
      <c r="AO350" s="318">
        <f>(AO285*(AP$3/AO$3))/AVERAGE(AN341,AO341)</f>
        <v>0.54524787517114881</v>
      </c>
      <c r="AP350" s="1238">
        <f>AP285/AVERAGE(AK341,AL341,AM341,AN341,AO341)*(AP$3/AP$3)</f>
        <v>0.1476818787071783</v>
      </c>
      <c r="AQ350" s="318">
        <f>(AQ285*(AU$3/AQ$3))/AVERAGE(AP341,AQ341)</f>
        <v>0.31735508035816185</v>
      </c>
      <c r="AR350" s="318">
        <f>(AR285*(AU$3/AR$3))/AVERAGE(AQ341,AR341)</f>
        <v>0.75495651150765264</v>
      </c>
      <c r="AS350" s="318">
        <f>(AS285*(AU$3/AS$3))/AVERAGE(AR341,AS341)</f>
        <v>0.17295883261713424</v>
      </c>
      <c r="AT350" s="318">
        <f>(AT285*(AU$3/AT$3))/AVERAGE(AS341,AT341)</f>
        <v>0.30027159429559286</v>
      </c>
      <c r="AU350" s="1238">
        <f>AU285/AVERAGE(AP341,AQ341,AR341,AS341,AT341)*(AU$3/AU$3)</f>
        <v>0.39458069620253167</v>
      </c>
      <c r="AV350" s="318">
        <f>(AV285*(AZ$3/AV$3))/AVERAGE(AU341,AV341)</f>
        <v>0.25786255450802698</v>
      </c>
      <c r="AW350" s="318">
        <f>(AW285*(AZ$3/AW$3))/AVERAGE(AV341,AW341)</f>
        <v>0.15483938160775887</v>
      </c>
      <c r="AX350" s="318">
        <f>(AX285*(AZ$3/AX$3))/AVERAGE(AW341,AX341)</f>
        <v>0.15942999639975436</v>
      </c>
      <c r="AY350" s="318">
        <f>(AY285*(AZ$3/AY$3))/AVERAGE(AX341,AY341)</f>
        <v>0.26127415891195421</v>
      </c>
      <c r="AZ350" s="1238">
        <f>AZ285/AVERAGE(AU341,AV341,AW341,AX341,AY341)*(AZ$3/AZ$3)</f>
        <v>0.20827535021801649</v>
      </c>
      <c r="BA350" s="318">
        <f>(BA285*(BE$3/BA$3))/AVERAGE(AZ341,BA341)</f>
        <v>0.20848151740489276</v>
      </c>
      <c r="BB350" s="318">
        <f>(BB285*(BE$3/BB$3))/AVERAGE(BA341,BB341)</f>
        <v>0.19647264320298852</v>
      </c>
      <c r="BC350" s="318">
        <f>(BC285*(BE$3/BC$3))/AVERAGE(BB341,BC341)</f>
        <v>0.1721991811842975</v>
      </c>
      <c r="BD350" s="318">
        <f>(BD285*(BE$3/BD$3))/AVERAGE(BC341,BD341)</f>
        <v>0.25897838496983822</v>
      </c>
      <c r="BE350" s="1238">
        <f>BE285/AVERAGE(AZ341,BA341,BB341,BC341,BD341)*(BE$3/BE$3)</f>
        <v>0.20833333333333334</v>
      </c>
      <c r="BF350" s="318">
        <f>(BF285*(BJ$3/BF$3))/AVERAGE(BE341,BF341)</f>
        <v>0.24184834919087622</v>
      </c>
      <c r="BG350" s="318">
        <f>(BG285*(BJ$3/BG$3))/AVERAGE(BF341,BG341)</f>
        <v>0.2057756197291081</v>
      </c>
      <c r="BH350" s="897">
        <f>(BH285*(BJ$3/BH$3))/AVERAGE(BG341,BH341)</f>
        <v>0.17004728241617767</v>
      </c>
      <c r="BI350" s="763">
        <f ca="1">(BI285*(BJ$3/BI$3))/AVERAGE(BH341,BI341)</f>
        <v>0.29461822104867103</v>
      </c>
      <c r="BJ350" s="1239">
        <f ca="1">BJ285/AVERAGE(BE341,BF341,BG341,BH341,BI341)*(BJ$3/BJ$3)</f>
        <v>0.22848392298272424</v>
      </c>
      <c r="BK350" s="763">
        <f ca="1">(BK285*(BO$3/BK$3))/AVERAGE(BJ341,BK341)</f>
        <v>0.27478160274087154</v>
      </c>
      <c r="BL350" s="763">
        <f ca="1">(BL285*(BO$3/BL$3))/AVERAGE(BK341,BL341)</f>
        <v>0.22954284508299558</v>
      </c>
      <c r="BM350" s="763">
        <f ca="1">(BM285*(BO$3/BM$3))/AVERAGE(BL341,BM341)</f>
        <v>0.23411476181176072</v>
      </c>
      <c r="BN350" s="763">
        <f ca="1">(BN285*(BO$3/BN$3))/AVERAGE(BM341,BN341)</f>
        <v>0.26844645999685923</v>
      </c>
      <c r="BO350" s="1239">
        <f ca="1">BO285/AVERAGE(BJ341,BK341,BL341,BM341,BN341)*(BO$3/BO$3)</f>
        <v>0.25151624879252837</v>
      </c>
      <c r="BP350" s="1237">
        <f ca="1">BP285/AVERAGE(BO341,BP341)*(BP3/BP3)</f>
        <v>0.22486644607740455</v>
      </c>
      <c r="BQ350" s="1237">
        <f ca="1">BQ285/AVERAGE(BP341,BQ341)*(BQ3/BQ3)</f>
        <v>0.23139169104000223</v>
      </c>
      <c r="BR350" s="1239">
        <f ca="1">BR285/AVERAGE(BQ341,BR341)*(BR3/BR3)</f>
        <v>0.20214742401686839</v>
      </c>
      <c r="BS350" s="35"/>
    </row>
    <row r="351" spans="1:71" s="666" customFormat="1" ht="15">
      <c r="A351" s="531"/>
      <c r="B351" s="531"/>
      <c r="C351" s="1243"/>
      <c r="D351" s="1243"/>
      <c r="E351" s="1243"/>
      <c r="F351" s="1243"/>
      <c r="G351" s="1243"/>
      <c r="H351" s="532"/>
      <c r="I351" s="532"/>
      <c r="J351" s="532"/>
      <c r="K351" s="532"/>
      <c r="L351" s="1243"/>
      <c r="M351" s="532"/>
      <c r="N351" s="532"/>
      <c r="O351" s="532"/>
      <c r="P351" s="532"/>
      <c r="Q351" s="1243"/>
      <c r="R351" s="532"/>
      <c r="S351" s="532"/>
      <c r="T351" s="532"/>
      <c r="U351" s="532"/>
      <c r="V351" s="1243"/>
      <c r="W351" s="532"/>
      <c r="X351" s="532"/>
      <c r="Y351" s="532"/>
      <c r="Z351" s="532"/>
      <c r="AA351" s="1243"/>
      <c r="AB351" s="532"/>
      <c r="AC351" s="532"/>
      <c r="AD351" s="532"/>
      <c r="AE351" s="532"/>
      <c r="AF351" s="1243"/>
      <c r="AG351" s="532"/>
      <c r="AH351" s="532"/>
      <c r="AI351" s="532"/>
      <c r="AJ351" s="532"/>
      <c r="AK351" s="1243"/>
      <c r="AL351" s="532"/>
      <c r="AM351" s="532"/>
      <c r="AN351" s="532"/>
      <c r="AO351" s="532"/>
      <c r="AP351" s="1243"/>
      <c r="AQ351" s="532"/>
      <c r="AR351" s="532"/>
      <c r="AS351" s="532"/>
      <c r="AT351" s="532"/>
      <c r="AU351" s="1243"/>
      <c r="AV351" s="532"/>
      <c r="AW351" s="532"/>
      <c r="AX351" s="532"/>
      <c r="AY351" s="532"/>
      <c r="AZ351" s="1243"/>
      <c r="BA351" s="532"/>
      <c r="BB351" s="532"/>
      <c r="BC351" s="532"/>
      <c r="BD351" s="532"/>
      <c r="BE351" s="1243"/>
      <c r="BF351" s="532"/>
      <c r="BG351" s="532"/>
      <c r="BH351" s="899"/>
      <c r="BI351" s="533"/>
      <c r="BJ351" s="1244"/>
      <c r="BK351" s="533"/>
      <c r="BL351" s="533"/>
      <c r="BM351" s="533"/>
      <c r="BN351" s="533"/>
      <c r="BO351" s="1244"/>
      <c r="BP351" s="1243"/>
      <c r="BQ351" s="1243"/>
      <c r="BR351" s="1244"/>
      <c r="BS351" s="20"/>
    </row>
    <row r="352" spans="1:71" s="408" customFormat="1" ht="15">
      <c r="A352" s="951" t="s">
        <v>490</v>
      </c>
      <c r="B352" s="950"/>
      <c r="C352" s="967"/>
      <c r="D352" s="967"/>
      <c r="E352" s="967"/>
      <c r="F352" s="967"/>
      <c r="G352" s="967"/>
      <c r="H352" s="967"/>
      <c r="I352" s="967"/>
      <c r="J352" s="967"/>
      <c r="K352" s="967"/>
      <c r="L352" s="967"/>
      <c r="M352" s="967"/>
      <c r="N352" s="967"/>
      <c r="O352" s="967"/>
      <c r="P352" s="967"/>
      <c r="Q352" s="967"/>
      <c r="R352" s="967"/>
      <c r="S352" s="967"/>
      <c r="T352" s="967"/>
      <c r="U352" s="967"/>
      <c r="V352" s="967"/>
      <c r="W352" s="967"/>
      <c r="X352" s="967"/>
      <c r="Y352" s="967"/>
      <c r="Z352" s="967"/>
      <c r="AA352" s="967"/>
      <c r="AB352" s="967"/>
      <c r="AC352" s="967"/>
      <c r="AD352" s="967"/>
      <c r="AE352" s="967"/>
      <c r="AF352" s="967"/>
      <c r="AG352" s="967"/>
      <c r="AH352" s="967"/>
      <c r="AI352" s="967"/>
      <c r="AJ352" s="967"/>
      <c r="AK352" s="967"/>
      <c r="AL352" s="967"/>
      <c r="AM352" s="967"/>
      <c r="AN352" s="967"/>
      <c r="AO352" s="967"/>
      <c r="AP352" s="967"/>
      <c r="AQ352" s="967"/>
      <c r="AR352" s="967"/>
      <c r="AS352" s="967"/>
      <c r="AT352" s="967"/>
      <c r="AU352" s="967"/>
      <c r="AV352" s="967"/>
      <c r="AW352" s="967"/>
      <c r="AX352" s="967"/>
      <c r="AY352" s="967"/>
      <c r="AZ352" s="967"/>
      <c r="BA352" s="967"/>
      <c r="BB352" s="967"/>
      <c r="BC352" s="967"/>
      <c r="BD352" s="967"/>
      <c r="BE352" s="967"/>
      <c r="BF352" s="967"/>
      <c r="BG352" s="967"/>
      <c r="BH352" s="968"/>
      <c r="BI352" s="967"/>
      <c r="BJ352" s="967"/>
      <c r="BK352" s="967"/>
      <c r="BL352" s="967"/>
      <c r="BM352" s="967"/>
      <c r="BN352" s="967"/>
      <c r="BO352" s="967"/>
      <c r="BP352" s="967"/>
      <c r="BQ352" s="967"/>
      <c r="BR352" s="967"/>
      <c r="BS352" s="455"/>
    </row>
    <row r="353" spans="1:71" s="673" customFormat="1" ht="15">
      <c r="A353" s="489" t="s">
        <v>491</v>
      </c>
      <c r="B353" s="417"/>
      <c r="C353" s="1131"/>
      <c r="D353" s="1131"/>
      <c r="E353" s="1131"/>
      <c r="F353" s="1131"/>
      <c r="G353" s="1131"/>
      <c r="H353" s="419"/>
      <c r="I353" s="419"/>
      <c r="J353" s="419"/>
      <c r="K353" s="419"/>
      <c r="L353" s="1131"/>
      <c r="M353" s="419"/>
      <c r="N353" s="419"/>
      <c r="O353" s="419"/>
      <c r="P353" s="419"/>
      <c r="Q353" s="1131"/>
      <c r="R353" s="419"/>
      <c r="S353" s="419"/>
      <c r="T353" s="419"/>
      <c r="U353" s="419"/>
      <c r="V353" s="1131"/>
      <c r="W353" s="419"/>
      <c r="X353" s="419"/>
      <c r="Y353" s="419"/>
      <c r="Z353" s="419"/>
      <c r="AA353" s="1131"/>
      <c r="AB353" s="419"/>
      <c r="AC353" s="419"/>
      <c r="AD353" s="419"/>
      <c r="AE353" s="419"/>
      <c r="AF353" s="1131"/>
      <c r="AG353" s="419"/>
      <c r="AH353" s="419"/>
      <c r="AI353" s="419"/>
      <c r="AJ353" s="419"/>
      <c r="AK353" s="1131"/>
      <c r="AL353" s="419"/>
      <c r="AM353" s="419"/>
      <c r="AN353" s="419"/>
      <c r="AO353" s="419"/>
      <c r="AP353" s="1131"/>
      <c r="AQ353" s="419"/>
      <c r="AR353" s="419"/>
      <c r="AS353" s="419"/>
      <c r="AT353" s="419"/>
      <c r="AU353" s="1131"/>
      <c r="AV353" s="419"/>
      <c r="AW353" s="419"/>
      <c r="AX353" s="419"/>
      <c r="AY353" s="419"/>
      <c r="AZ353" s="1131"/>
      <c r="BA353" s="419"/>
      <c r="BB353" s="419"/>
      <c r="BC353" s="419"/>
      <c r="BD353" s="419"/>
      <c r="BE353" s="1131"/>
      <c r="BF353" s="419"/>
      <c r="BG353" s="419"/>
      <c r="BH353" s="464"/>
      <c r="BI353" s="171"/>
      <c r="BJ353" s="1133"/>
      <c r="BK353" s="171"/>
      <c r="BL353" s="171"/>
      <c r="BM353" s="171"/>
      <c r="BN353" s="171"/>
      <c r="BO353" s="1133"/>
      <c r="BP353" s="1131"/>
      <c r="BQ353" s="1131"/>
      <c r="BR353" s="1133"/>
      <c r="BS353" s="32"/>
    </row>
    <row r="354" spans="1:71" s="673" customFormat="1" ht="15">
      <c r="A354" s="601" t="s">
        <v>340</v>
      </c>
      <c r="B354" s="417"/>
      <c r="C354" s="1131">
        <f t="shared" si="894" ref="C354:AK354">C562</f>
        <v>828</v>
      </c>
      <c r="D354" s="1131">
        <f t="shared" si="894"/>
        <v>952</v>
      </c>
      <c r="E354" s="1131">
        <f t="shared" si="894"/>
        <v>934</v>
      </c>
      <c r="F354" s="1131">
        <f t="shared" si="894"/>
        <v>953</v>
      </c>
      <c r="G354" s="1131">
        <f t="shared" si="894"/>
        <v>913</v>
      </c>
      <c r="H354" s="419">
        <f t="shared" si="894"/>
        <v>913</v>
      </c>
      <c r="I354" s="419">
        <f t="shared" si="894"/>
        <v>912</v>
      </c>
      <c r="J354" s="419">
        <f t="shared" si="894"/>
        <v>1062</v>
      </c>
      <c r="K354" s="419">
        <f t="shared" si="894"/>
        <v>1061</v>
      </c>
      <c r="L354" s="1131">
        <f t="shared" si="894"/>
        <v>1061</v>
      </c>
      <c r="M354" s="419">
        <f t="shared" si="894"/>
        <v>1061</v>
      </c>
      <c r="N354" s="419">
        <f t="shared" si="894"/>
        <v>1024</v>
      </c>
      <c r="O354" s="419">
        <f t="shared" si="894"/>
        <v>880</v>
      </c>
      <c r="P354" s="419">
        <f t="shared" si="894"/>
        <v>998</v>
      </c>
      <c r="Q354" s="1131">
        <f t="shared" si="894"/>
        <v>998</v>
      </c>
      <c r="R354" s="419">
        <f t="shared" si="894"/>
        <v>998</v>
      </c>
      <c r="S354" s="419">
        <f t="shared" si="894"/>
        <v>998</v>
      </c>
      <c r="T354" s="419">
        <f t="shared" si="894"/>
        <v>1300</v>
      </c>
      <c r="U354" s="419">
        <f t="shared" si="894"/>
        <v>1283</v>
      </c>
      <c r="V354" s="1131">
        <f t="shared" si="894"/>
        <v>1283</v>
      </c>
      <c r="W354" s="419">
        <f t="shared" si="894"/>
        <v>1283</v>
      </c>
      <c r="X354" s="419">
        <f t="shared" si="894"/>
        <v>1405</v>
      </c>
      <c r="Y354" s="419">
        <f t="shared" si="894"/>
        <v>1284</v>
      </c>
      <c r="Z354" s="419">
        <f t="shared" si="894"/>
        <v>1301</v>
      </c>
      <c r="AA354" s="1131">
        <f t="shared" si="894"/>
        <v>1301</v>
      </c>
      <c r="AB354" s="419">
        <f t="shared" si="894"/>
        <v>1301</v>
      </c>
      <c r="AC354" s="419">
        <f t="shared" si="894"/>
        <v>1301</v>
      </c>
      <c r="AD354" s="419">
        <f t="shared" si="894"/>
        <v>1302</v>
      </c>
      <c r="AE354" s="419">
        <f t="shared" si="894"/>
        <v>1302</v>
      </c>
      <c r="AF354" s="1131">
        <f t="shared" si="894"/>
        <v>1302</v>
      </c>
      <c r="AG354" s="419">
        <f t="shared" si="894"/>
        <v>1423</v>
      </c>
      <c r="AH354" s="419">
        <f t="shared" si="894"/>
        <v>1423</v>
      </c>
      <c r="AI354" s="419">
        <f t="shared" si="894"/>
        <v>1423</v>
      </c>
      <c r="AJ354" s="419">
        <f t="shared" si="894"/>
        <v>1473</v>
      </c>
      <c r="AK354" s="1131">
        <f t="shared" si="894"/>
        <v>1473</v>
      </c>
      <c r="AL354" s="419">
        <f t="shared" si="895" ref="AL354:AQ354">AL562</f>
        <v>1473</v>
      </c>
      <c r="AM354" s="419">
        <f t="shared" si="895"/>
        <v>1912</v>
      </c>
      <c r="AN354" s="419">
        <f t="shared" si="895"/>
        <v>2108</v>
      </c>
      <c r="AO354" s="419">
        <f t="shared" si="895"/>
        <v>1963</v>
      </c>
      <c r="AP354" s="1131">
        <f t="shared" si="895"/>
        <v>1963</v>
      </c>
      <c r="AQ354" s="419">
        <f t="shared" si="895"/>
        <v>1963</v>
      </c>
      <c r="AR354" s="419">
        <f t="shared" si="896" ref="AR354:AZ354">AR562</f>
        <v>1963</v>
      </c>
      <c r="AS354" s="419">
        <f t="shared" si="896"/>
        <v>1964</v>
      </c>
      <c r="AT354" s="419">
        <f t="shared" si="896"/>
        <v>1964</v>
      </c>
      <c r="AU354" s="1131">
        <f t="shared" si="896"/>
        <v>1964</v>
      </c>
      <c r="AV354" s="419">
        <f t="shared" si="896"/>
        <v>1917</v>
      </c>
      <c r="AW354" s="419">
        <f t="shared" si="896"/>
        <v>1542</v>
      </c>
      <c r="AX354" s="419">
        <f t="shared" si="896"/>
        <v>1533</v>
      </c>
      <c r="AY354" s="419">
        <f t="shared" si="896"/>
        <v>1496</v>
      </c>
      <c r="AZ354" s="1131">
        <f t="shared" si="896"/>
        <v>1496</v>
      </c>
      <c r="BA354" s="419">
        <f t="shared" si="897" ref="BA354:BG354">BA562</f>
        <v>1478</v>
      </c>
      <c r="BB354" s="419">
        <f t="shared" si="897"/>
        <v>1474</v>
      </c>
      <c r="BC354" s="419">
        <f t="shared" si="897"/>
        <v>1474</v>
      </c>
      <c r="BD354" s="419">
        <f t="shared" si="897"/>
        <v>1475</v>
      </c>
      <c r="BE354" s="1131">
        <f t="shared" si="897"/>
        <v>1475</v>
      </c>
      <c r="BF354" s="419">
        <f t="shared" si="897"/>
        <v>1475</v>
      </c>
      <c r="BG354" s="419">
        <f t="shared" si="897"/>
        <v>1475</v>
      </c>
      <c r="BH354" s="464">
        <f>BH562</f>
        <v>1475</v>
      </c>
      <c r="BI354" s="171">
        <f>BH354+BI361</f>
        <v>1475</v>
      </c>
      <c r="BJ354" s="1133">
        <f>BI354</f>
        <v>1475</v>
      </c>
      <c r="BK354" s="171">
        <f>BJ354+BK361</f>
        <v>1475</v>
      </c>
      <c r="BL354" s="171">
        <f>BK354+BL361</f>
        <v>1475</v>
      </c>
      <c r="BM354" s="171">
        <f>BL354+BM361</f>
        <v>1475</v>
      </c>
      <c r="BN354" s="171">
        <f>BM354+BN361</f>
        <v>1475</v>
      </c>
      <c r="BO354" s="1133">
        <f>BN354</f>
        <v>1475</v>
      </c>
      <c r="BP354" s="1131">
        <f>BO354+BP361</f>
        <v>1475</v>
      </c>
      <c r="BQ354" s="1131">
        <f>BP354+BQ361</f>
        <v>1475</v>
      </c>
      <c r="BR354" s="1133">
        <f>BQ354+BR361</f>
        <v>1475</v>
      </c>
      <c r="BS354" s="32"/>
    </row>
    <row r="355" spans="1:71" s="673" customFormat="1" ht="15">
      <c r="A355" s="420" t="s">
        <v>492</v>
      </c>
      <c r="B355" s="515"/>
      <c r="C355" s="1157">
        <f t="shared" si="898" ref="C355:AK355">SUM(C353:C354)</f>
        <v>828</v>
      </c>
      <c r="D355" s="1157">
        <f t="shared" si="898"/>
        <v>952</v>
      </c>
      <c r="E355" s="1157">
        <f t="shared" si="898"/>
        <v>934</v>
      </c>
      <c r="F355" s="1157">
        <f t="shared" si="898"/>
        <v>953</v>
      </c>
      <c r="G355" s="1157">
        <f t="shared" si="898"/>
        <v>913</v>
      </c>
      <c r="H355" s="617">
        <f t="shared" si="898"/>
        <v>913</v>
      </c>
      <c r="I355" s="617">
        <f t="shared" si="898"/>
        <v>912</v>
      </c>
      <c r="J355" s="617">
        <f t="shared" si="898"/>
        <v>1062</v>
      </c>
      <c r="K355" s="617">
        <f t="shared" si="898"/>
        <v>1061</v>
      </c>
      <c r="L355" s="1157">
        <f t="shared" si="898"/>
        <v>1061</v>
      </c>
      <c r="M355" s="617">
        <f t="shared" si="898"/>
        <v>1061</v>
      </c>
      <c r="N355" s="617">
        <f t="shared" si="898"/>
        <v>1024</v>
      </c>
      <c r="O355" s="617">
        <f t="shared" si="898"/>
        <v>880</v>
      </c>
      <c r="P355" s="617">
        <f t="shared" si="898"/>
        <v>998</v>
      </c>
      <c r="Q355" s="1157">
        <f t="shared" si="898"/>
        <v>998</v>
      </c>
      <c r="R355" s="617">
        <f t="shared" si="898"/>
        <v>998</v>
      </c>
      <c r="S355" s="617">
        <f t="shared" si="898"/>
        <v>998</v>
      </c>
      <c r="T355" s="617">
        <f t="shared" si="898"/>
        <v>1300</v>
      </c>
      <c r="U355" s="617">
        <f t="shared" si="898"/>
        <v>1283</v>
      </c>
      <c r="V355" s="1157">
        <f t="shared" si="898"/>
        <v>1283</v>
      </c>
      <c r="W355" s="617">
        <f t="shared" si="898"/>
        <v>1283</v>
      </c>
      <c r="X355" s="617">
        <f t="shared" si="898"/>
        <v>1405</v>
      </c>
      <c r="Y355" s="617">
        <f t="shared" si="898"/>
        <v>1284</v>
      </c>
      <c r="Z355" s="617">
        <f t="shared" si="898"/>
        <v>1301</v>
      </c>
      <c r="AA355" s="1157">
        <f t="shared" si="898"/>
        <v>1301</v>
      </c>
      <c r="AB355" s="617">
        <f t="shared" si="898"/>
        <v>1301</v>
      </c>
      <c r="AC355" s="617">
        <f t="shared" si="898"/>
        <v>1301</v>
      </c>
      <c r="AD355" s="617">
        <f t="shared" si="898"/>
        <v>1302</v>
      </c>
      <c r="AE355" s="617">
        <f t="shared" si="898"/>
        <v>1302</v>
      </c>
      <c r="AF355" s="1157">
        <f t="shared" si="898"/>
        <v>1302</v>
      </c>
      <c r="AG355" s="617">
        <f t="shared" si="898"/>
        <v>1423</v>
      </c>
      <c r="AH355" s="617">
        <f t="shared" si="898"/>
        <v>1423</v>
      </c>
      <c r="AI355" s="617">
        <f t="shared" si="898"/>
        <v>1423</v>
      </c>
      <c r="AJ355" s="617">
        <f t="shared" si="898"/>
        <v>1473</v>
      </c>
      <c r="AK355" s="1157">
        <f t="shared" si="898"/>
        <v>1473</v>
      </c>
      <c r="AL355" s="617">
        <f t="shared" si="899" ref="AL355:AQ355">SUM(AL353:AL354)</f>
        <v>1473</v>
      </c>
      <c r="AM355" s="617">
        <f t="shared" si="899"/>
        <v>1912</v>
      </c>
      <c r="AN355" s="617">
        <f t="shared" si="899"/>
        <v>2108</v>
      </c>
      <c r="AO355" s="617">
        <f t="shared" si="899"/>
        <v>1963</v>
      </c>
      <c r="AP355" s="1157">
        <f t="shared" si="899"/>
        <v>1963</v>
      </c>
      <c r="AQ355" s="617">
        <f t="shared" si="899"/>
        <v>1963</v>
      </c>
      <c r="AR355" s="617">
        <f t="shared" si="900" ref="AR355:AW355">SUM(AR353:AR354)</f>
        <v>1963</v>
      </c>
      <c r="AS355" s="617">
        <f t="shared" si="900"/>
        <v>1964</v>
      </c>
      <c r="AT355" s="617">
        <f t="shared" si="900"/>
        <v>1964</v>
      </c>
      <c r="AU355" s="1157">
        <f t="shared" si="900"/>
        <v>1964</v>
      </c>
      <c r="AV355" s="617">
        <f t="shared" si="900"/>
        <v>1917</v>
      </c>
      <c r="AW355" s="617">
        <f t="shared" si="900"/>
        <v>1542</v>
      </c>
      <c r="AX355" s="617">
        <f>SUM(AX353:AX354)</f>
        <v>1533</v>
      </c>
      <c r="AY355" s="617">
        <f>SUM(AY353:AY354)</f>
        <v>1496</v>
      </c>
      <c r="AZ355" s="1157">
        <f>SUM(AZ353:AZ354)</f>
        <v>1496</v>
      </c>
      <c r="BA355" s="617">
        <f>SUM(BA353:BA354)</f>
        <v>1478</v>
      </c>
      <c r="BB355" s="617">
        <f>SUM(BB353:BB354)</f>
        <v>1474</v>
      </c>
      <c r="BC355" s="617">
        <f t="shared" si="901" ref="BC355:BR355">SUM(BC353:BC354)</f>
        <v>1474</v>
      </c>
      <c r="BD355" s="617">
        <f t="shared" si="901"/>
        <v>1475</v>
      </c>
      <c r="BE355" s="1157">
        <f t="shared" si="901"/>
        <v>1475</v>
      </c>
      <c r="BF355" s="617">
        <f>SUM(BF353:BF354)</f>
        <v>1475</v>
      </c>
      <c r="BG355" s="617">
        <f>SUM(BG353:BG354)</f>
        <v>1475</v>
      </c>
      <c r="BH355" s="772">
        <f>SUM(BH353:BH354)</f>
        <v>1475</v>
      </c>
      <c r="BI355" s="617">
        <f t="shared" si="901"/>
        <v>1475</v>
      </c>
      <c r="BJ355" s="1157">
        <f t="shared" si="901"/>
        <v>1475</v>
      </c>
      <c r="BK355" s="617">
        <f t="shared" si="901"/>
        <v>1475</v>
      </c>
      <c r="BL355" s="617">
        <f t="shared" si="901"/>
        <v>1475</v>
      </c>
      <c r="BM355" s="617">
        <f t="shared" si="901"/>
        <v>1475</v>
      </c>
      <c r="BN355" s="617">
        <f t="shared" si="901"/>
        <v>1475</v>
      </c>
      <c r="BO355" s="1157">
        <f t="shared" si="901"/>
        <v>1475</v>
      </c>
      <c r="BP355" s="1157">
        <f t="shared" si="901"/>
        <v>1475</v>
      </c>
      <c r="BQ355" s="1157">
        <f t="shared" si="901"/>
        <v>1475</v>
      </c>
      <c r="BR355" s="1157">
        <f t="shared" si="901"/>
        <v>1475</v>
      </c>
      <c r="BS355" s="32"/>
    </row>
    <row r="356" spans="1:71" s="673" customFormat="1" ht="15">
      <c r="A356" s="598" t="s">
        <v>493</v>
      </c>
      <c r="B356" s="511"/>
      <c r="C356" s="1134">
        <f t="shared" si="902" ref="C356:AK356">C577</f>
        <v>3781</v>
      </c>
      <c r="D356" s="1134">
        <f t="shared" si="902"/>
        <v>4331</v>
      </c>
      <c r="E356" s="1134">
        <f t="shared" si="902"/>
        <v>4411</v>
      </c>
      <c r="F356" s="1134">
        <f t="shared" si="902"/>
        <v>4578</v>
      </c>
      <c r="G356" s="1134">
        <f t="shared" si="902"/>
        <v>4599</v>
      </c>
      <c r="H356" s="363">
        <f t="shared" si="902"/>
        <v>4796</v>
      </c>
      <c r="I356" s="363">
        <f t="shared" si="902"/>
        <v>4985</v>
      </c>
      <c r="J356" s="363">
        <f t="shared" si="902"/>
        <v>4904</v>
      </c>
      <c r="K356" s="363">
        <f t="shared" si="902"/>
        <v>4879</v>
      </c>
      <c r="L356" s="1134">
        <f t="shared" si="902"/>
        <v>4879</v>
      </c>
      <c r="M356" s="363">
        <f t="shared" si="902"/>
        <v>4923</v>
      </c>
      <c r="N356" s="363">
        <f t="shared" si="902"/>
        <v>4802</v>
      </c>
      <c r="O356" s="363">
        <f t="shared" si="902"/>
        <v>4724</v>
      </c>
      <c r="P356" s="363">
        <f t="shared" si="902"/>
        <v>4592</v>
      </c>
      <c r="Q356" s="1134">
        <f t="shared" si="902"/>
        <v>4592</v>
      </c>
      <c r="R356" s="363">
        <f t="shared" si="902"/>
        <v>4755</v>
      </c>
      <c r="S356" s="363">
        <f t="shared" si="902"/>
        <v>5000</v>
      </c>
      <c r="T356" s="363">
        <f t="shared" si="902"/>
        <v>5161</v>
      </c>
      <c r="U356" s="363">
        <f t="shared" si="902"/>
        <v>4916</v>
      </c>
      <c r="V356" s="1134">
        <f t="shared" si="902"/>
        <v>4916</v>
      </c>
      <c r="W356" s="363">
        <f t="shared" si="902"/>
        <v>5191</v>
      </c>
      <c r="X356" s="363">
        <f t="shared" si="902"/>
        <v>5312</v>
      </c>
      <c r="Y356" s="363">
        <f t="shared" si="902"/>
        <v>5379</v>
      </c>
      <c r="Z356" s="363">
        <f t="shared" si="902"/>
        <v>5330</v>
      </c>
      <c r="AA356" s="1134">
        <f t="shared" si="902"/>
        <v>5330</v>
      </c>
      <c r="AB356" s="363">
        <f t="shared" si="902"/>
        <v>5183</v>
      </c>
      <c r="AC356" s="363">
        <f t="shared" si="902"/>
        <v>5084</v>
      </c>
      <c r="AD356" s="363">
        <f t="shared" si="902"/>
        <v>5164</v>
      </c>
      <c r="AE356" s="363">
        <f t="shared" si="902"/>
        <v>4970</v>
      </c>
      <c r="AF356" s="1134">
        <f t="shared" si="902"/>
        <v>4970</v>
      </c>
      <c r="AG356" s="363">
        <f t="shared" si="902"/>
        <v>5665</v>
      </c>
      <c r="AH356" s="363">
        <f t="shared" si="902"/>
        <v>6090</v>
      </c>
      <c r="AI356" s="363">
        <f t="shared" si="902"/>
        <v>6321</v>
      </c>
      <c r="AJ356" s="363">
        <f t="shared" si="902"/>
        <v>6269</v>
      </c>
      <c r="AK356" s="1134">
        <f t="shared" si="902"/>
        <v>6269</v>
      </c>
      <c r="AL356" s="363">
        <f t="shared" si="903" ref="AL356:AQ356">AL577</f>
        <v>5047</v>
      </c>
      <c r="AM356" s="363">
        <f t="shared" si="903"/>
        <v>6126</v>
      </c>
      <c r="AN356" s="363">
        <f t="shared" si="903"/>
        <v>6340</v>
      </c>
      <c r="AO356" s="363">
        <f t="shared" si="903"/>
        <v>6789</v>
      </c>
      <c r="AP356" s="1134">
        <f t="shared" si="903"/>
        <v>6789</v>
      </c>
      <c r="AQ356" s="363">
        <f t="shared" si="903"/>
        <v>6685</v>
      </c>
      <c r="AR356" s="363">
        <f t="shared" si="904" ref="AR356:AW356">AR577</f>
        <v>5601</v>
      </c>
      <c r="AS356" s="363">
        <f t="shared" si="904"/>
        <v>5240</v>
      </c>
      <c r="AT356" s="363">
        <f t="shared" si="904"/>
        <v>5012</v>
      </c>
      <c r="AU356" s="1134">
        <f t="shared" si="904"/>
        <v>5012</v>
      </c>
      <c r="AV356" s="363">
        <f t="shared" si="904"/>
        <v>4835</v>
      </c>
      <c r="AW356" s="363">
        <f t="shared" si="904"/>
        <v>4067</v>
      </c>
      <c r="AX356" s="363">
        <f>AX577</f>
        <v>3932</v>
      </c>
      <c r="AY356" s="363">
        <f>AY577</f>
        <v>4052</v>
      </c>
      <c r="AZ356" s="1134">
        <f>AZ577</f>
        <v>4052</v>
      </c>
      <c r="BA356" s="363">
        <f>BA577</f>
        <v>3941</v>
      </c>
      <c r="BB356" s="363">
        <f>BB577</f>
        <v>3993</v>
      </c>
      <c r="BC356" s="363">
        <f t="shared" si="905" ref="BC356:BR356">BC577</f>
        <v>3981</v>
      </c>
      <c r="BD356" s="363">
        <f t="shared" si="905"/>
        <v>4258</v>
      </c>
      <c r="BE356" s="1134">
        <f t="shared" si="905"/>
        <v>4258</v>
      </c>
      <c r="BF356" s="363">
        <f>BF577</f>
        <v>4240</v>
      </c>
      <c r="BG356" s="363">
        <f>BG577</f>
        <v>4384</v>
      </c>
      <c r="BH356" s="773">
        <f>BH577</f>
        <v>4708</v>
      </c>
      <c r="BI356" s="363">
        <f t="shared" ca="1" si="905"/>
        <v>4620.67545724918</v>
      </c>
      <c r="BJ356" s="1134">
        <f t="shared" ca="1" si="905"/>
        <v>4620.67545724918</v>
      </c>
      <c r="BK356" s="363">
        <f t="shared" ca="1" si="905"/>
        <v>4846.8986861986323</v>
      </c>
      <c r="BL356" s="363">
        <f t="shared" ca="1" si="905"/>
        <v>5039.5323808194544</v>
      </c>
      <c r="BM356" s="363">
        <f t="shared" ca="1" si="905"/>
        <v>5252.210256446715</v>
      </c>
      <c r="BN356" s="363">
        <f t="shared" ca="1" si="905"/>
        <v>5522.2529836825224</v>
      </c>
      <c r="BO356" s="1134">
        <f t="shared" ca="1" si="905"/>
        <v>5522.2529836825224</v>
      </c>
      <c r="BP356" s="1134">
        <f t="shared" ca="1" si="905"/>
        <v>6516.396020882119</v>
      </c>
      <c r="BQ356" s="1134">
        <f t="shared" ca="1" si="905"/>
        <v>7812.1070254876158</v>
      </c>
      <c r="BR356" s="1134">
        <f t="shared" ca="1" si="905"/>
        <v>9179.2655358805368</v>
      </c>
      <c r="BS356" s="32"/>
    </row>
    <row r="357" spans="1:71" s="674" customFormat="1" ht="15">
      <c r="A357" s="485" t="s">
        <v>494</v>
      </c>
      <c r="B357" s="509"/>
      <c r="C357" s="1147">
        <f t="shared" si="906" ref="C357:AK357">C355+C356</f>
        <v>4609</v>
      </c>
      <c r="D357" s="1147">
        <f t="shared" si="906"/>
        <v>5283</v>
      </c>
      <c r="E357" s="1147">
        <f t="shared" si="906"/>
        <v>5345</v>
      </c>
      <c r="F357" s="1147">
        <f t="shared" si="906"/>
        <v>5531</v>
      </c>
      <c r="G357" s="1147">
        <f t="shared" si="906"/>
        <v>5512</v>
      </c>
      <c r="H357" s="426">
        <f t="shared" si="906"/>
        <v>5709</v>
      </c>
      <c r="I357" s="426">
        <f t="shared" si="906"/>
        <v>5897</v>
      </c>
      <c r="J357" s="426">
        <f t="shared" si="906"/>
        <v>5966</v>
      </c>
      <c r="K357" s="426">
        <f t="shared" si="906"/>
        <v>5940</v>
      </c>
      <c r="L357" s="1147">
        <f t="shared" si="906"/>
        <v>5940</v>
      </c>
      <c r="M357" s="426">
        <f t="shared" si="906"/>
        <v>5984</v>
      </c>
      <c r="N357" s="426">
        <f t="shared" si="906"/>
        <v>5826</v>
      </c>
      <c r="O357" s="426">
        <f t="shared" si="906"/>
        <v>5604</v>
      </c>
      <c r="P357" s="426">
        <f t="shared" si="906"/>
        <v>5590</v>
      </c>
      <c r="Q357" s="1147">
        <f t="shared" si="906"/>
        <v>5590</v>
      </c>
      <c r="R357" s="426">
        <f t="shared" si="906"/>
        <v>5753</v>
      </c>
      <c r="S357" s="426">
        <f t="shared" si="906"/>
        <v>5998</v>
      </c>
      <c r="T357" s="426">
        <f t="shared" si="906"/>
        <v>6461</v>
      </c>
      <c r="U357" s="426">
        <f t="shared" si="906"/>
        <v>6199</v>
      </c>
      <c r="V357" s="1147">
        <f t="shared" si="906"/>
        <v>6199</v>
      </c>
      <c r="W357" s="426">
        <f t="shared" si="906"/>
        <v>6474</v>
      </c>
      <c r="X357" s="426">
        <f t="shared" si="906"/>
        <v>6717</v>
      </c>
      <c r="Y357" s="426">
        <f t="shared" si="906"/>
        <v>6663</v>
      </c>
      <c r="Z357" s="426">
        <f t="shared" si="906"/>
        <v>6631</v>
      </c>
      <c r="AA357" s="1147">
        <f t="shared" si="906"/>
        <v>6631</v>
      </c>
      <c r="AB357" s="426">
        <f t="shared" si="906"/>
        <v>6484</v>
      </c>
      <c r="AC357" s="426">
        <f t="shared" si="906"/>
        <v>6385</v>
      </c>
      <c r="AD357" s="426">
        <f t="shared" si="906"/>
        <v>6466</v>
      </c>
      <c r="AE357" s="426">
        <f t="shared" si="906"/>
        <v>6272</v>
      </c>
      <c r="AF357" s="1147">
        <f t="shared" si="906"/>
        <v>6272</v>
      </c>
      <c r="AG357" s="426">
        <f t="shared" si="906"/>
        <v>7088</v>
      </c>
      <c r="AH357" s="426">
        <f t="shared" si="906"/>
        <v>7513</v>
      </c>
      <c r="AI357" s="426">
        <f t="shared" si="906"/>
        <v>7744</v>
      </c>
      <c r="AJ357" s="426">
        <f t="shared" si="906"/>
        <v>7742</v>
      </c>
      <c r="AK357" s="1147">
        <f t="shared" si="906"/>
        <v>7742</v>
      </c>
      <c r="AL357" s="426">
        <f t="shared" si="907" ref="AL357:AQ357">AL355+AL356</f>
        <v>6520</v>
      </c>
      <c r="AM357" s="426">
        <f t="shared" si="907"/>
        <v>8038</v>
      </c>
      <c r="AN357" s="426">
        <f t="shared" si="907"/>
        <v>8448</v>
      </c>
      <c r="AO357" s="426">
        <f t="shared" si="907"/>
        <v>8752</v>
      </c>
      <c r="AP357" s="1147">
        <f t="shared" si="907"/>
        <v>8752</v>
      </c>
      <c r="AQ357" s="426">
        <f t="shared" si="907"/>
        <v>8648</v>
      </c>
      <c r="AR357" s="426">
        <f t="shared" si="908" ref="AR357:AW357">AR355+AR356</f>
        <v>7564</v>
      </c>
      <c r="AS357" s="426">
        <f t="shared" si="908"/>
        <v>7204</v>
      </c>
      <c r="AT357" s="426">
        <f t="shared" si="908"/>
        <v>6976</v>
      </c>
      <c r="AU357" s="1147">
        <f t="shared" si="908"/>
        <v>6976</v>
      </c>
      <c r="AV357" s="426">
        <f t="shared" si="908"/>
        <v>6752</v>
      </c>
      <c r="AW357" s="426">
        <f t="shared" si="908"/>
        <v>5609</v>
      </c>
      <c r="AX357" s="426">
        <f>AX355+AX356</f>
        <v>5465</v>
      </c>
      <c r="AY357" s="426">
        <f>AY355+AY356</f>
        <v>5548</v>
      </c>
      <c r="AZ357" s="1147">
        <f>AZ355+AZ356</f>
        <v>5548</v>
      </c>
      <c r="BA357" s="426">
        <f>BA355+BA356</f>
        <v>5419</v>
      </c>
      <c r="BB357" s="426">
        <f>BB355+BB356</f>
        <v>5467</v>
      </c>
      <c r="BC357" s="426">
        <f t="shared" si="909" ref="BC357:BR357">BC355+BC356</f>
        <v>5455</v>
      </c>
      <c r="BD357" s="426">
        <f t="shared" si="909"/>
        <v>5733</v>
      </c>
      <c r="BE357" s="1147">
        <f t="shared" si="909"/>
        <v>5733</v>
      </c>
      <c r="BF357" s="426">
        <f>BF355+BF356</f>
        <v>5715</v>
      </c>
      <c r="BG357" s="426">
        <f>BG355+BG356</f>
        <v>5859</v>
      </c>
      <c r="BH357" s="487">
        <f>BH355+BH356</f>
        <v>6183</v>
      </c>
      <c r="BI357" s="159">
        <f t="shared" ca="1" si="909"/>
        <v>6095.67545724918</v>
      </c>
      <c r="BJ357" s="1148">
        <f t="shared" ca="1" si="909"/>
        <v>6095.67545724918</v>
      </c>
      <c r="BK357" s="159">
        <f t="shared" ca="1" si="909"/>
        <v>6321.8986861986323</v>
      </c>
      <c r="BL357" s="159">
        <f t="shared" ca="1" si="909"/>
        <v>6514.5323808194544</v>
      </c>
      <c r="BM357" s="159">
        <f t="shared" ca="1" si="909"/>
        <v>6727.210256446715</v>
      </c>
      <c r="BN357" s="159">
        <f t="shared" ca="1" si="909"/>
        <v>6997.2529836825224</v>
      </c>
      <c r="BO357" s="1148">
        <f t="shared" ca="1" si="909"/>
        <v>6997.2529836825224</v>
      </c>
      <c r="BP357" s="1147">
        <f t="shared" ca="1" si="909"/>
        <v>7991.396020882119</v>
      </c>
      <c r="BQ357" s="1147">
        <f t="shared" ca="1" si="909"/>
        <v>9287.1070254876158</v>
      </c>
      <c r="BR357" s="1148">
        <f t="shared" ca="1" si="909"/>
        <v>10654.265535880537</v>
      </c>
      <c r="BS357" s="37"/>
    </row>
    <row r="358" spans="1:71" s="666" customFormat="1" ht="15">
      <c r="A358" s="485"/>
      <c r="B358" s="531"/>
      <c r="C358" s="1243"/>
      <c r="D358" s="1243"/>
      <c r="E358" s="1243"/>
      <c r="F358" s="1243"/>
      <c r="G358" s="1243"/>
      <c r="H358" s="532"/>
      <c r="I358" s="532"/>
      <c r="J358" s="532"/>
      <c r="K358" s="532"/>
      <c r="L358" s="1243"/>
      <c r="M358" s="532"/>
      <c r="N358" s="532"/>
      <c r="O358" s="532"/>
      <c r="P358" s="532"/>
      <c r="Q358" s="1243"/>
      <c r="R358" s="532"/>
      <c r="S358" s="532"/>
      <c r="T358" s="532"/>
      <c r="U358" s="532"/>
      <c r="V358" s="1243"/>
      <c r="W358" s="532"/>
      <c r="X358" s="532"/>
      <c r="Y358" s="532"/>
      <c r="Z358" s="532"/>
      <c r="AA358" s="1243"/>
      <c r="AB358" s="532"/>
      <c r="AC358" s="532"/>
      <c r="AD358" s="532"/>
      <c r="AE358" s="532"/>
      <c r="AF358" s="1243"/>
      <c r="AG358" s="532"/>
      <c r="AH358" s="532"/>
      <c r="AI358" s="532"/>
      <c r="AJ358" s="532"/>
      <c r="AK358" s="1243"/>
      <c r="AL358" s="532"/>
      <c r="AM358" s="532"/>
      <c r="AN358" s="532"/>
      <c r="AO358" s="532"/>
      <c r="AP358" s="1243"/>
      <c r="AQ358" s="532"/>
      <c r="AR358" s="532"/>
      <c r="AS358" s="532"/>
      <c r="AT358" s="532"/>
      <c r="AU358" s="1243"/>
      <c r="AV358" s="532"/>
      <c r="AW358" s="532"/>
      <c r="AX358" s="532"/>
      <c r="AY358" s="532"/>
      <c r="AZ358" s="1243"/>
      <c r="BA358" s="532"/>
      <c r="BB358" s="532"/>
      <c r="BC358" s="532"/>
      <c r="BD358" s="532"/>
      <c r="BE358" s="1243"/>
      <c r="BF358" s="532"/>
      <c r="BG358" s="532"/>
      <c r="BH358" s="899"/>
      <c r="BI358" s="533"/>
      <c r="BJ358" s="1244"/>
      <c r="BK358" s="533"/>
      <c r="BL358" s="533"/>
      <c r="BM358" s="533"/>
      <c r="BN358" s="533"/>
      <c r="BO358" s="1244"/>
      <c r="BP358" s="1243"/>
      <c r="BQ358" s="1243"/>
      <c r="BR358" s="1244"/>
      <c r="BS358" s="20"/>
    </row>
    <row r="359" spans="1:71" s="670" customFormat="1" ht="15">
      <c r="A359" s="497" t="s">
        <v>495</v>
      </c>
      <c r="B359" s="422"/>
      <c r="C359" s="1173">
        <f t="shared" si="910" ref="C359:AK359">C355/C357</f>
        <v>0.17964851377739205</v>
      </c>
      <c r="D359" s="1173">
        <f t="shared" si="910"/>
        <v>0.18020064357372706</v>
      </c>
      <c r="E359" s="1173">
        <f t="shared" si="910"/>
        <v>0.17474275023386343</v>
      </c>
      <c r="F359" s="1173">
        <f t="shared" si="910"/>
        <v>0.17230157295244983</v>
      </c>
      <c r="G359" s="1173">
        <f t="shared" si="910"/>
        <v>0.16563860667634253</v>
      </c>
      <c r="H359" s="424">
        <f t="shared" si="910"/>
        <v>0.15992292870905589</v>
      </c>
      <c r="I359" s="424">
        <f t="shared" si="910"/>
        <v>0.154654909275903</v>
      </c>
      <c r="J359" s="424">
        <f t="shared" si="910"/>
        <v>0.17800871605766008</v>
      </c>
      <c r="K359" s="424">
        <f t="shared" si="910"/>
        <v>0.17861952861952862</v>
      </c>
      <c r="L359" s="1173">
        <f t="shared" si="910"/>
        <v>0.17861952861952862</v>
      </c>
      <c r="M359" s="424">
        <f t="shared" si="910"/>
        <v>0.17730614973262032</v>
      </c>
      <c r="N359" s="424">
        <f t="shared" si="910"/>
        <v>0.17576381737040853</v>
      </c>
      <c r="O359" s="424">
        <f t="shared" si="910"/>
        <v>0.15703069236259815</v>
      </c>
      <c r="P359" s="424">
        <f t="shared" si="910"/>
        <v>0.17853309481216459</v>
      </c>
      <c r="Q359" s="1173">
        <f t="shared" si="910"/>
        <v>0.17853309481216459</v>
      </c>
      <c r="R359" s="424">
        <f t="shared" si="910"/>
        <v>0.17347470884755781</v>
      </c>
      <c r="S359" s="424">
        <f t="shared" si="910"/>
        <v>0.1663887962654218</v>
      </c>
      <c r="T359" s="424">
        <f t="shared" si="910"/>
        <v>0.2012072434607646</v>
      </c>
      <c r="U359" s="424">
        <f t="shared" si="910"/>
        <v>0.20696886594612035</v>
      </c>
      <c r="V359" s="1173">
        <f t="shared" si="910"/>
        <v>0.20696886594612035</v>
      </c>
      <c r="W359" s="424">
        <f t="shared" si="910"/>
        <v>0.19817732468334878</v>
      </c>
      <c r="X359" s="424">
        <f t="shared" si="910"/>
        <v>0.20917076075629001</v>
      </c>
      <c r="Y359" s="424">
        <f t="shared" si="910"/>
        <v>0.19270598829356145</v>
      </c>
      <c r="Z359" s="424">
        <f t="shared" si="910"/>
        <v>0.19619966822500376</v>
      </c>
      <c r="AA359" s="1173">
        <f t="shared" si="910"/>
        <v>0.19619966822500376</v>
      </c>
      <c r="AB359" s="424">
        <f t="shared" si="910"/>
        <v>0.20064774830351634</v>
      </c>
      <c r="AC359" s="424">
        <f t="shared" si="910"/>
        <v>0.20375880971025842</v>
      </c>
      <c r="AD359" s="424">
        <f t="shared" si="910"/>
        <v>0.2013609650479431</v>
      </c>
      <c r="AE359" s="424">
        <f t="shared" si="910"/>
        <v>0.20758928571428573</v>
      </c>
      <c r="AF359" s="1173">
        <f t="shared" si="910"/>
        <v>0.20758928571428573</v>
      </c>
      <c r="AG359" s="424">
        <f t="shared" si="910"/>
        <v>0.20076185101580135</v>
      </c>
      <c r="AH359" s="424">
        <f t="shared" si="910"/>
        <v>0.1894050312791162</v>
      </c>
      <c r="AI359" s="424">
        <f t="shared" si="910"/>
        <v>0.1837551652892562</v>
      </c>
      <c r="AJ359" s="424">
        <f t="shared" si="910"/>
        <v>0.19026091449237922</v>
      </c>
      <c r="AK359" s="1173">
        <f t="shared" si="910"/>
        <v>0.19026091449237922</v>
      </c>
      <c r="AL359" s="424">
        <f t="shared" si="911" ref="AL359:AQ359">AL355/AL357</f>
        <v>0.22592024539877301</v>
      </c>
      <c r="AM359" s="424">
        <f t="shared" si="911"/>
        <v>0.23787011694451357</v>
      </c>
      <c r="AN359" s="424">
        <f t="shared" si="911"/>
        <v>0.24952651515151514</v>
      </c>
      <c r="AO359" s="424">
        <f t="shared" si="911"/>
        <v>0.22429159049360145</v>
      </c>
      <c r="AP359" s="1173">
        <f t="shared" si="911"/>
        <v>0.22429159049360145</v>
      </c>
      <c r="AQ359" s="424">
        <f t="shared" si="911"/>
        <v>0.22698889916743756</v>
      </c>
      <c r="AR359" s="424">
        <f t="shared" si="912" ref="AR359:AZ359">AR355/AR357</f>
        <v>0.25951877313590693</v>
      </c>
      <c r="AS359" s="424">
        <f t="shared" si="912"/>
        <v>0.27262631871182674</v>
      </c>
      <c r="AT359" s="424">
        <f t="shared" si="912"/>
        <v>0.28153669724770641</v>
      </c>
      <c r="AU359" s="1173">
        <f t="shared" si="912"/>
        <v>0.28153669724770641</v>
      </c>
      <c r="AV359" s="424">
        <f t="shared" si="912"/>
        <v>0.28391587677725116</v>
      </c>
      <c r="AW359" s="424">
        <f t="shared" si="912"/>
        <v>0.27491531467284719</v>
      </c>
      <c r="AX359" s="424">
        <f t="shared" si="912"/>
        <v>0.28051235132662394</v>
      </c>
      <c r="AY359" s="424">
        <f t="shared" si="912"/>
        <v>0.26964671953857244</v>
      </c>
      <c r="AZ359" s="1173">
        <f t="shared" si="912"/>
        <v>0.26964671953857244</v>
      </c>
      <c r="BA359" s="424">
        <f t="shared" si="913" ref="BA359:BB359">BA355/BA357</f>
        <v>0.27274404871747554</v>
      </c>
      <c r="BB359" s="424">
        <f t="shared" si="913"/>
        <v>0.26961770623742454</v>
      </c>
      <c r="BC359" s="424">
        <f>BC355/BC357</f>
        <v>0.27021081576535289</v>
      </c>
      <c r="BD359" s="424">
        <f t="shared" si="914" ref="BD359:BJ359">BD355/BD357</f>
        <v>0.25728240013954301</v>
      </c>
      <c r="BE359" s="1173">
        <f t="shared" si="914"/>
        <v>0.25728240013954301</v>
      </c>
      <c r="BF359" s="424">
        <f>BF355/BF357</f>
        <v>0.25809273840769903</v>
      </c>
      <c r="BG359" s="424">
        <f>BG355/BG357</f>
        <v>0.25174944529783239</v>
      </c>
      <c r="BH359" s="884">
        <f>BH355/BH357</f>
        <v>0.23855733462720363</v>
      </c>
      <c r="BI359" s="410">
        <f ca="1">BI355/BI357</f>
        <v>0.24197482466785217</v>
      </c>
      <c r="BJ359" s="1174">
        <f t="shared" ca="1" si="914"/>
        <v>0.24197482466785217</v>
      </c>
      <c r="BK359" s="410">
        <f ca="1" t="shared" si="915" ref="BK359:BR359">BK355/BK357</f>
        <v>0.23331598198814538</v>
      </c>
      <c r="BL359" s="410">
        <f t="shared" ca="1" si="915"/>
        <v>0.22641686521396362</v>
      </c>
      <c r="BM359" s="410">
        <f t="shared" ca="1" si="915"/>
        <v>0.21925879283860661</v>
      </c>
      <c r="BN359" s="410">
        <f t="shared" ca="1" si="915"/>
        <v>0.21079700897476131</v>
      </c>
      <c r="BO359" s="1174">
        <f t="shared" ca="1" si="915"/>
        <v>0.21079700897476131</v>
      </c>
      <c r="BP359" s="1173">
        <f t="shared" ca="1" si="915"/>
        <v>0.18457350832641931</v>
      </c>
      <c r="BQ359" s="1173">
        <f t="shared" ca="1" si="915"/>
        <v>0.15882233250376004</v>
      </c>
      <c r="BR359" s="1174">
        <f t="shared" ca="1" si="915"/>
        <v>0.13844220373826985</v>
      </c>
      <c r="BS359" s="29"/>
    </row>
    <row r="360" spans="1:71" s="666" customFormat="1" ht="15">
      <c r="A360" s="485"/>
      <c r="B360" s="531"/>
      <c r="C360" s="1243"/>
      <c r="D360" s="1243"/>
      <c r="E360" s="1243"/>
      <c r="F360" s="1243"/>
      <c r="G360" s="1243"/>
      <c r="H360" s="532"/>
      <c r="I360" s="532"/>
      <c r="J360" s="532"/>
      <c r="K360" s="532"/>
      <c r="L360" s="1243"/>
      <c r="M360" s="532"/>
      <c r="N360" s="532"/>
      <c r="O360" s="532"/>
      <c r="P360" s="532"/>
      <c r="Q360" s="1243"/>
      <c r="R360" s="532"/>
      <c r="S360" s="532"/>
      <c r="T360" s="532"/>
      <c r="U360" s="532"/>
      <c r="V360" s="1243"/>
      <c r="W360" s="532"/>
      <c r="X360" s="532"/>
      <c r="Y360" s="532"/>
      <c r="Z360" s="532"/>
      <c r="AA360" s="1243"/>
      <c r="AB360" s="532"/>
      <c r="AC360" s="532"/>
      <c r="AD360" s="532"/>
      <c r="AE360" s="532"/>
      <c r="AF360" s="1243"/>
      <c r="AG360" s="532"/>
      <c r="AH360" s="532"/>
      <c r="AI360" s="532"/>
      <c r="AJ360" s="532"/>
      <c r="AK360" s="1243"/>
      <c r="AL360" s="532"/>
      <c r="AM360" s="532"/>
      <c r="AN360" s="532"/>
      <c r="AO360" s="532"/>
      <c r="AP360" s="1243"/>
      <c r="AQ360" s="532"/>
      <c r="AR360" s="532"/>
      <c r="AS360" s="532"/>
      <c r="AT360" s="532"/>
      <c r="AU360" s="1243"/>
      <c r="AV360" s="532"/>
      <c r="AW360" s="532"/>
      <c r="AX360" s="532"/>
      <c r="AY360" s="532"/>
      <c r="AZ360" s="1243"/>
      <c r="BA360" s="532"/>
      <c r="BB360" s="532"/>
      <c r="BC360" s="532"/>
      <c r="BD360" s="532"/>
      <c r="BE360" s="1243"/>
      <c r="BF360" s="532"/>
      <c r="BG360" s="532"/>
      <c r="BH360" s="899"/>
      <c r="BI360" s="533"/>
      <c r="BJ360" s="1244"/>
      <c r="BK360" s="533"/>
      <c r="BL360" s="533"/>
      <c r="BM360" s="533"/>
      <c r="BN360" s="533"/>
      <c r="BO360" s="1244"/>
      <c r="BP360" s="1243"/>
      <c r="BQ360" s="1243"/>
      <c r="BR360" s="1244"/>
      <c r="BS360" s="20"/>
    </row>
    <row r="361" spans="1:71" s="673" customFormat="1" ht="15">
      <c r="A361" s="133" t="s">
        <v>496</v>
      </c>
      <c r="B361" s="417"/>
      <c r="C361" s="1131">
        <f t="shared" si="916" ref="C361:AH361">C507+C506</f>
        <v>-204</v>
      </c>
      <c r="D361" s="1131">
        <f t="shared" si="916"/>
        <v>120</v>
      </c>
      <c r="E361" s="1131">
        <f t="shared" si="916"/>
        <v>-18</v>
      </c>
      <c r="F361" s="1131">
        <f t="shared" si="916"/>
        <v>7</v>
      </c>
      <c r="G361" s="1131">
        <f t="shared" si="916"/>
        <v>-40</v>
      </c>
      <c r="H361" s="419">
        <f t="shared" si="916"/>
        <v>0</v>
      </c>
      <c r="I361" s="419">
        <f t="shared" si="916"/>
        <v>-1</v>
      </c>
      <c r="J361" s="419">
        <f t="shared" si="916"/>
        <v>145</v>
      </c>
      <c r="K361" s="419">
        <f t="shared" si="916"/>
        <v>-1</v>
      </c>
      <c r="L361" s="1131">
        <f t="shared" si="916"/>
        <v>143</v>
      </c>
      <c r="M361" s="419">
        <f t="shared" si="916"/>
        <v>0</v>
      </c>
      <c r="N361" s="419">
        <f t="shared" si="916"/>
        <v>-37</v>
      </c>
      <c r="O361" s="419">
        <f t="shared" si="916"/>
        <v>-145</v>
      </c>
      <c r="P361" s="419">
        <f t="shared" si="916"/>
        <v>135</v>
      </c>
      <c r="Q361" s="1131">
        <f t="shared" si="916"/>
        <v>-47</v>
      </c>
      <c r="R361" s="419">
        <f t="shared" si="916"/>
        <v>0</v>
      </c>
      <c r="S361" s="419">
        <f t="shared" si="916"/>
        <v>0</v>
      </c>
      <c r="T361" s="419">
        <f t="shared" si="916"/>
        <v>302</v>
      </c>
      <c r="U361" s="419">
        <f t="shared" si="916"/>
        <v>-18</v>
      </c>
      <c r="V361" s="1131">
        <f t="shared" si="916"/>
        <v>284</v>
      </c>
      <c r="W361" s="419">
        <f t="shared" si="916"/>
        <v>0</v>
      </c>
      <c r="X361" s="419">
        <f t="shared" si="916"/>
        <v>115</v>
      </c>
      <c r="Y361" s="419">
        <f t="shared" si="916"/>
        <v>-125</v>
      </c>
      <c r="Z361" s="419">
        <f t="shared" si="916"/>
        <v>-23</v>
      </c>
      <c r="AA361" s="1131">
        <f t="shared" si="916"/>
        <v>-33</v>
      </c>
      <c r="AB361" s="419">
        <f t="shared" si="916"/>
        <v>0</v>
      </c>
      <c r="AC361" s="419">
        <f t="shared" si="916"/>
        <v>0</v>
      </c>
      <c r="AD361" s="419">
        <f t="shared" si="916"/>
        <v>0</v>
      </c>
      <c r="AE361" s="419">
        <f t="shared" si="916"/>
        <v>0</v>
      </c>
      <c r="AF361" s="1131">
        <f t="shared" si="916"/>
        <v>0</v>
      </c>
      <c r="AG361" s="419">
        <f t="shared" si="916"/>
        <v>121</v>
      </c>
      <c r="AH361" s="419">
        <f t="shared" si="916"/>
        <v>0</v>
      </c>
      <c r="AI361" s="419">
        <f t="shared" si="917" ref="AI361:BF361">AI507+AI506</f>
        <v>0</v>
      </c>
      <c r="AJ361" s="419">
        <f t="shared" si="917"/>
        <v>44</v>
      </c>
      <c r="AK361" s="1131">
        <f t="shared" si="917"/>
        <v>165</v>
      </c>
      <c r="AL361" s="419">
        <f t="shared" si="917"/>
        <v>0</v>
      </c>
      <c r="AM361" s="419">
        <f t="shared" si="917"/>
        <v>439</v>
      </c>
      <c r="AN361" s="419">
        <f t="shared" si="917"/>
        <v>196</v>
      </c>
      <c r="AO361" s="419">
        <f t="shared" si="917"/>
        <v>-151</v>
      </c>
      <c r="AP361" s="1131">
        <f t="shared" si="917"/>
        <v>484</v>
      </c>
      <c r="AQ361" s="419">
        <f t="shared" si="917"/>
        <v>0</v>
      </c>
      <c r="AR361" s="419">
        <f t="shared" si="917"/>
        <v>0</v>
      </c>
      <c r="AS361" s="419">
        <f t="shared" si="917"/>
        <v>0</v>
      </c>
      <c r="AT361" s="419">
        <f t="shared" si="917"/>
        <v>0</v>
      </c>
      <c r="AU361" s="1131">
        <f t="shared" si="917"/>
        <v>0</v>
      </c>
      <c r="AV361" s="419">
        <f t="shared" si="917"/>
        <v>-50</v>
      </c>
      <c r="AW361" s="419">
        <f t="shared" si="917"/>
        <v>-383</v>
      </c>
      <c r="AX361" s="419">
        <f t="shared" si="917"/>
        <v>-3</v>
      </c>
      <c r="AY361" s="419">
        <f t="shared" si="917"/>
        <v>-41</v>
      </c>
      <c r="AZ361" s="1131">
        <f t="shared" si="917"/>
        <v>-477</v>
      </c>
      <c r="BA361" s="419">
        <f t="shared" si="917"/>
        <v>-16</v>
      </c>
      <c r="BB361" s="419">
        <f t="shared" si="917"/>
        <v>-5</v>
      </c>
      <c r="BC361" s="419">
        <f t="shared" si="917"/>
        <v>0</v>
      </c>
      <c r="BD361" s="288">
        <f t="shared" si="917"/>
        <v>0</v>
      </c>
      <c r="BE361" s="1131">
        <f t="shared" si="917"/>
        <v>-21</v>
      </c>
      <c r="BF361" s="288">
        <f t="shared" si="917"/>
        <v>0</v>
      </c>
      <c r="BG361" s="288">
        <f t="shared" si="918" ref="BG361">BG507+BG506</f>
        <v>0</v>
      </c>
      <c r="BH361" s="464">
        <f>BH507+BH506</f>
        <v>0</v>
      </c>
      <c r="BI361" s="1051">
        <v>0</v>
      </c>
      <c r="BJ361" s="1133">
        <f>BJ507+BJ506</f>
        <v>0</v>
      </c>
      <c r="BK361" s="1051">
        <v>0</v>
      </c>
      <c r="BL361" s="1051">
        <v>0</v>
      </c>
      <c r="BM361" s="1051">
        <v>0</v>
      </c>
      <c r="BN361" s="1051">
        <v>0</v>
      </c>
      <c r="BO361" s="1133">
        <f>BO507+BO506</f>
        <v>0</v>
      </c>
      <c r="BP361" s="1132">
        <v>0</v>
      </c>
      <c r="BQ361" s="1132">
        <v>0</v>
      </c>
      <c r="BR361" s="1160">
        <v>0</v>
      </c>
      <c r="BS361" s="32"/>
    </row>
    <row r="362" spans="1:71" s="673" customFormat="1" ht="15">
      <c r="A362" s="133" t="s">
        <v>497</v>
      </c>
      <c r="B362" s="417"/>
      <c r="C362" s="1131">
        <f t="shared" si="919" ref="C362:AH362">C512+C511</f>
        <v>-66</v>
      </c>
      <c r="D362" s="1131">
        <f t="shared" si="919"/>
        <v>-260</v>
      </c>
      <c r="E362" s="1131">
        <f t="shared" si="919"/>
        <v>-276</v>
      </c>
      <c r="F362" s="1131">
        <f t="shared" si="919"/>
        <v>-369</v>
      </c>
      <c r="G362" s="1131">
        <f t="shared" si="919"/>
        <v>-16</v>
      </c>
      <c r="H362" s="419">
        <f t="shared" si="919"/>
        <v>-13</v>
      </c>
      <c r="I362" s="419">
        <f t="shared" si="919"/>
        <v>-7</v>
      </c>
      <c r="J362" s="419">
        <f t="shared" si="919"/>
        <v>-72</v>
      </c>
      <c r="K362" s="419">
        <f t="shared" si="919"/>
        <v>-52</v>
      </c>
      <c r="L362" s="1131">
        <f t="shared" si="919"/>
        <v>-144</v>
      </c>
      <c r="M362" s="419">
        <f t="shared" si="919"/>
        <v>-12</v>
      </c>
      <c r="N362" s="419">
        <f t="shared" si="919"/>
        <v>-32</v>
      </c>
      <c r="O362" s="419">
        <f t="shared" si="919"/>
        <v>-22</v>
      </c>
      <c r="P362" s="419">
        <f t="shared" si="919"/>
        <v>1</v>
      </c>
      <c r="Q362" s="1131">
        <f t="shared" si="919"/>
        <v>-65</v>
      </c>
      <c r="R362" s="419">
        <f t="shared" si="919"/>
        <v>-63</v>
      </c>
      <c r="S362" s="419">
        <f t="shared" si="919"/>
        <v>-15</v>
      </c>
      <c r="T362" s="419">
        <f t="shared" si="919"/>
        <v>-12</v>
      </c>
      <c r="U362" s="419">
        <f t="shared" si="919"/>
        <v>-8</v>
      </c>
      <c r="V362" s="1131">
        <f t="shared" si="919"/>
        <v>-98</v>
      </c>
      <c r="W362" s="419">
        <f t="shared" si="919"/>
        <v>15</v>
      </c>
      <c r="X362" s="419">
        <f t="shared" si="919"/>
        <v>12</v>
      </c>
      <c r="Y362" s="419">
        <f t="shared" si="919"/>
        <v>3</v>
      </c>
      <c r="Z362" s="419">
        <f t="shared" si="919"/>
        <v>7</v>
      </c>
      <c r="AA362" s="1131">
        <f t="shared" si="919"/>
        <v>37</v>
      </c>
      <c r="AB362" s="419">
        <f t="shared" si="919"/>
        <v>14</v>
      </c>
      <c r="AC362" s="419">
        <f t="shared" si="919"/>
        <v>7</v>
      </c>
      <c r="AD362" s="419">
        <f t="shared" si="919"/>
        <v>5</v>
      </c>
      <c r="AE362" s="419">
        <f t="shared" si="919"/>
        <v>1</v>
      </c>
      <c r="AF362" s="1131">
        <f t="shared" si="919"/>
        <v>27</v>
      </c>
      <c r="AG362" s="419">
        <f t="shared" si="919"/>
        <v>7</v>
      </c>
      <c r="AH362" s="419">
        <f t="shared" si="919"/>
        <v>12</v>
      </c>
      <c r="AI362" s="419">
        <f t="shared" si="920" ref="AI362:BF362">AI512+AI511</f>
        <v>10</v>
      </c>
      <c r="AJ362" s="419">
        <f t="shared" si="920"/>
        <v>7</v>
      </c>
      <c r="AK362" s="1131">
        <f t="shared" si="920"/>
        <v>36</v>
      </c>
      <c r="AL362" s="419">
        <f t="shared" si="920"/>
        <v>-51</v>
      </c>
      <c r="AM362" s="419">
        <f t="shared" si="920"/>
        <v>-74</v>
      </c>
      <c r="AN362" s="419">
        <f t="shared" si="920"/>
        <v>-93</v>
      </c>
      <c r="AO362" s="419">
        <f t="shared" si="920"/>
        <v>-73</v>
      </c>
      <c r="AP362" s="1131">
        <f t="shared" si="920"/>
        <v>-291</v>
      </c>
      <c r="AQ362" s="419">
        <f t="shared" si="920"/>
        <v>-172</v>
      </c>
      <c r="AR362" s="419">
        <f t="shared" si="920"/>
        <v>-82</v>
      </c>
      <c r="AS362" s="419">
        <f t="shared" si="920"/>
        <v>-4</v>
      </c>
      <c r="AT362" s="419">
        <f t="shared" si="920"/>
        <v>5</v>
      </c>
      <c r="AU362" s="1131">
        <f t="shared" si="920"/>
        <v>-253</v>
      </c>
      <c r="AV362" s="419">
        <f t="shared" si="920"/>
        <v>0</v>
      </c>
      <c r="AW362" s="419">
        <f t="shared" si="920"/>
        <v>4</v>
      </c>
      <c r="AX362" s="419">
        <f t="shared" si="920"/>
        <v>-2</v>
      </c>
      <c r="AY362" s="419">
        <f t="shared" si="920"/>
        <v>3</v>
      </c>
      <c r="AZ362" s="1131">
        <f t="shared" si="920"/>
        <v>5</v>
      </c>
      <c r="BA362" s="419">
        <f t="shared" si="920"/>
        <v>-20</v>
      </c>
      <c r="BB362" s="419">
        <f t="shared" si="920"/>
        <v>-39</v>
      </c>
      <c r="BC362" s="419">
        <f t="shared" si="920"/>
        <v>-83</v>
      </c>
      <c r="BD362" s="288">
        <f t="shared" si="920"/>
        <v>-56</v>
      </c>
      <c r="BE362" s="1131">
        <f t="shared" si="920"/>
        <v>-198</v>
      </c>
      <c r="BF362" s="288">
        <f t="shared" si="920"/>
        <v>6</v>
      </c>
      <c r="BG362" s="288">
        <f t="shared" si="921" ref="BG362">BG512+BG511</f>
        <v>4</v>
      </c>
      <c r="BH362" s="464">
        <f>BH512+BH511</f>
        <v>3</v>
      </c>
      <c r="BI362" s="1051">
        <v>0</v>
      </c>
      <c r="BJ362" s="1133">
        <f>BJ512+BJ511</f>
        <v>13</v>
      </c>
      <c r="BK362" s="1051">
        <v>0</v>
      </c>
      <c r="BL362" s="1051">
        <v>0</v>
      </c>
      <c r="BM362" s="1051">
        <v>0</v>
      </c>
      <c r="BN362" s="1051">
        <v>0</v>
      </c>
      <c r="BO362" s="1133">
        <f>BO512+BO511</f>
        <v>0</v>
      </c>
      <c r="BP362" s="1132">
        <v>0</v>
      </c>
      <c r="BQ362" s="1132">
        <v>0</v>
      </c>
      <c r="BR362" s="1160">
        <v>0</v>
      </c>
      <c r="BS362" s="32"/>
    </row>
    <row r="363" spans="1:71" s="684" customFormat="1" ht="15">
      <c r="A363" s="409" t="s">
        <v>498</v>
      </c>
      <c r="B363" s="411"/>
      <c r="C363" s="1207"/>
      <c r="D363" s="1207"/>
      <c r="E363" s="1207"/>
      <c r="F363" s="1207"/>
      <c r="G363" s="1207"/>
      <c r="H363" s="413"/>
      <c r="I363" s="413"/>
      <c r="J363" s="413"/>
      <c r="K363" s="413"/>
      <c r="L363" s="1207"/>
      <c r="M363" s="413"/>
      <c r="N363" s="413"/>
      <c r="O363" s="413"/>
      <c r="P363" s="413"/>
      <c r="Q363" s="1207"/>
      <c r="R363" s="413"/>
      <c r="S363" s="413"/>
      <c r="T363" s="413"/>
      <c r="U363" s="413"/>
      <c r="V363" s="1207"/>
      <c r="W363" s="413"/>
      <c r="X363" s="413"/>
      <c r="Y363" s="413"/>
      <c r="Z363" s="413"/>
      <c r="AA363" s="1207"/>
      <c r="AB363" s="413"/>
      <c r="AC363" s="413"/>
      <c r="AD363" s="413"/>
      <c r="AE363" s="413"/>
      <c r="AF363" s="1207"/>
      <c r="AG363" s="413"/>
      <c r="AH363" s="413"/>
      <c r="AI363" s="413"/>
      <c r="AJ363" s="413"/>
      <c r="AK363" s="1207"/>
      <c r="AL363" s="413"/>
      <c r="AM363" s="413"/>
      <c r="AN363" s="413"/>
      <c r="AO363" s="413"/>
      <c r="AP363" s="1207"/>
      <c r="AQ363" s="413"/>
      <c r="AR363" s="413"/>
      <c r="AS363" s="413"/>
      <c r="AT363" s="413"/>
      <c r="AU363" s="1207"/>
      <c r="AV363" s="413"/>
      <c r="AW363" s="413"/>
      <c r="AX363" s="413"/>
      <c r="AY363" s="413"/>
      <c r="AZ363" s="1207"/>
      <c r="BA363" s="413"/>
      <c r="BB363" s="413"/>
      <c r="BC363" s="413"/>
      <c r="BD363" s="413"/>
      <c r="BE363" s="1207"/>
      <c r="BF363" s="413"/>
      <c r="BG363" s="413"/>
      <c r="BH363" s="937"/>
      <c r="BI363" s="1088">
        <v>142</v>
      </c>
      <c r="BJ363" s="1206">
        <f>AVERAGE(BI363,BH363,BG363,BF363)</f>
        <v>142</v>
      </c>
      <c r="BK363" s="1088">
        <v>156</v>
      </c>
      <c r="BL363" s="1088">
        <v>156</v>
      </c>
      <c r="BM363" s="1088">
        <v>156</v>
      </c>
      <c r="BN363" s="1088">
        <v>156</v>
      </c>
      <c r="BO363" s="1206">
        <f>AVERAGE(BN363,BM363,BL363,BK363)</f>
        <v>156</v>
      </c>
      <c r="BP363" s="1245">
        <v>172</v>
      </c>
      <c r="BQ363" s="1245">
        <v>189</v>
      </c>
      <c r="BR363" s="1246">
        <v>208</v>
      </c>
      <c r="BS363" s="34"/>
    </row>
    <row r="364" spans="1:71" s="666" customFormat="1" ht="15">
      <c r="A364" s="485"/>
      <c r="B364" s="531"/>
      <c r="C364" s="1243"/>
      <c r="D364" s="1243"/>
      <c r="E364" s="1243"/>
      <c r="F364" s="1243"/>
      <c r="G364" s="1243"/>
      <c r="H364" s="532"/>
      <c r="I364" s="532"/>
      <c r="J364" s="532"/>
      <c r="K364" s="532"/>
      <c r="L364" s="1243"/>
      <c r="M364" s="532"/>
      <c r="N364" s="532"/>
      <c r="O364" s="532"/>
      <c r="P364" s="532"/>
      <c r="Q364" s="1243"/>
      <c r="R364" s="532"/>
      <c r="S364" s="532"/>
      <c r="T364" s="532"/>
      <c r="U364" s="532"/>
      <c r="V364" s="1243"/>
      <c r="W364" s="532"/>
      <c r="X364" s="532"/>
      <c r="Y364" s="532"/>
      <c r="Z364" s="532"/>
      <c r="AA364" s="1243"/>
      <c r="AB364" s="532"/>
      <c r="AC364" s="532"/>
      <c r="AD364" s="532"/>
      <c r="AE364" s="532"/>
      <c r="AF364" s="1243"/>
      <c r="AG364" s="532"/>
      <c r="AH364" s="532"/>
      <c r="AI364" s="532"/>
      <c r="AJ364" s="532"/>
      <c r="AK364" s="1243"/>
      <c r="AL364" s="532"/>
      <c r="AM364" s="532"/>
      <c r="AN364" s="532"/>
      <c r="AO364" s="532"/>
      <c r="AP364" s="1243"/>
      <c r="AQ364" s="532"/>
      <c r="AR364" s="532"/>
      <c r="AS364" s="532"/>
      <c r="AT364" s="532"/>
      <c r="AU364" s="1243"/>
      <c r="AV364" s="532"/>
      <c r="AW364" s="532"/>
      <c r="AX364" s="532"/>
      <c r="AY364" s="532"/>
      <c r="AZ364" s="1243"/>
      <c r="BA364" s="532"/>
      <c r="BB364" s="532"/>
      <c r="BC364" s="532"/>
      <c r="BD364" s="532"/>
      <c r="BE364" s="1243"/>
      <c r="BF364" s="532"/>
      <c r="BG364" s="532"/>
      <c r="BH364" s="899"/>
      <c r="BI364" s="533"/>
      <c r="BJ364" s="1244"/>
      <c r="BK364" s="533"/>
      <c r="BL364" s="533"/>
      <c r="BM364" s="533"/>
      <c r="BN364" s="533"/>
      <c r="BO364" s="1244"/>
      <c r="BP364" s="1243"/>
      <c r="BQ364" s="1243"/>
      <c r="BR364" s="1244"/>
      <c r="BS364" s="20"/>
    </row>
    <row r="365" spans="1:71" s="673" customFormat="1" ht="15">
      <c r="A365" s="421" t="s">
        <v>206</v>
      </c>
      <c r="B365" s="417"/>
      <c r="C365" s="1131">
        <f t="shared" si="922" ref="C365:AH365">C272</f>
        <v>67</v>
      </c>
      <c r="D365" s="1131">
        <f t="shared" si="922"/>
        <v>78</v>
      </c>
      <c r="E365" s="1131">
        <f t="shared" si="922"/>
        <v>85</v>
      </c>
      <c r="F365" s="1131">
        <f t="shared" si="922"/>
        <v>75</v>
      </c>
      <c r="G365" s="1131">
        <f t="shared" si="922"/>
        <v>71</v>
      </c>
      <c r="H365" s="419">
        <f t="shared" si="922"/>
        <v>18</v>
      </c>
      <c r="I365" s="419">
        <f t="shared" si="922"/>
        <v>17</v>
      </c>
      <c r="J365" s="419">
        <f t="shared" si="922"/>
        <v>18</v>
      </c>
      <c r="K365" s="419">
        <f t="shared" si="922"/>
        <v>20</v>
      </c>
      <c r="L365" s="1131">
        <f t="shared" si="922"/>
        <v>73</v>
      </c>
      <c r="M365" s="419">
        <f t="shared" si="922"/>
        <v>20</v>
      </c>
      <c r="N365" s="419">
        <f t="shared" si="922"/>
        <v>20</v>
      </c>
      <c r="O365" s="419">
        <f t="shared" si="922"/>
        <v>18</v>
      </c>
      <c r="P365" s="419">
        <f t="shared" si="922"/>
        <v>17</v>
      </c>
      <c r="Q365" s="1131">
        <f t="shared" si="922"/>
        <v>75</v>
      </c>
      <c r="R365" s="419">
        <f t="shared" si="922"/>
        <v>18</v>
      </c>
      <c r="S365" s="419">
        <f t="shared" si="922"/>
        <v>19</v>
      </c>
      <c r="T365" s="419">
        <f t="shared" si="922"/>
        <v>19</v>
      </c>
      <c r="U365" s="419">
        <f t="shared" si="922"/>
        <v>21</v>
      </c>
      <c r="V365" s="1131">
        <f t="shared" si="922"/>
        <v>77</v>
      </c>
      <c r="W365" s="419">
        <f t="shared" si="922"/>
        <v>21</v>
      </c>
      <c r="X365" s="419">
        <f t="shared" si="922"/>
        <v>23</v>
      </c>
      <c r="Y365" s="419">
        <f t="shared" si="922"/>
        <v>21</v>
      </c>
      <c r="Z365" s="419">
        <f t="shared" si="922"/>
        <v>20</v>
      </c>
      <c r="AA365" s="1131">
        <f t="shared" si="922"/>
        <v>85</v>
      </c>
      <c r="AB365" s="419">
        <f t="shared" si="922"/>
        <v>15</v>
      </c>
      <c r="AC365" s="419">
        <f t="shared" si="922"/>
        <v>16</v>
      </c>
      <c r="AD365" s="419">
        <f t="shared" si="922"/>
        <v>15</v>
      </c>
      <c r="AE365" s="419">
        <f t="shared" si="922"/>
        <v>16</v>
      </c>
      <c r="AF365" s="1131">
        <f t="shared" si="922"/>
        <v>62</v>
      </c>
      <c r="AG365" s="419">
        <f t="shared" si="922"/>
        <v>16</v>
      </c>
      <c r="AH365" s="419">
        <f t="shared" si="922"/>
        <v>17</v>
      </c>
      <c r="AI365" s="419">
        <f t="shared" si="923" ref="AI365:AZ365">AI272</f>
        <v>17</v>
      </c>
      <c r="AJ365" s="419">
        <f t="shared" si="923"/>
        <v>18</v>
      </c>
      <c r="AK365" s="1131">
        <f t="shared" si="923"/>
        <v>68</v>
      </c>
      <c r="AL365" s="419">
        <f t="shared" si="923"/>
        <v>17</v>
      </c>
      <c r="AM365" s="419">
        <f t="shared" si="923"/>
        <v>23</v>
      </c>
      <c r="AN365" s="419">
        <f t="shared" si="923"/>
        <v>24</v>
      </c>
      <c r="AO365" s="419">
        <f t="shared" si="923"/>
        <v>24</v>
      </c>
      <c r="AP365" s="1131">
        <f t="shared" si="923"/>
        <v>88</v>
      </c>
      <c r="AQ365" s="419">
        <f t="shared" si="923"/>
        <v>24</v>
      </c>
      <c r="AR365" s="419">
        <f t="shared" si="923"/>
        <v>23</v>
      </c>
      <c r="AS365" s="419">
        <f t="shared" si="923"/>
        <v>24</v>
      </c>
      <c r="AT365" s="419">
        <f t="shared" si="923"/>
        <v>23</v>
      </c>
      <c r="AU365" s="1131">
        <f t="shared" si="923"/>
        <v>94</v>
      </c>
      <c r="AV365" s="419">
        <f t="shared" si="923"/>
        <v>23</v>
      </c>
      <c r="AW365" s="419">
        <f t="shared" si="923"/>
        <v>23</v>
      </c>
      <c r="AX365" s="419">
        <f t="shared" si="923"/>
        <v>19</v>
      </c>
      <c r="AY365" s="419">
        <f t="shared" si="923"/>
        <v>20</v>
      </c>
      <c r="AZ365" s="1131">
        <f t="shared" si="923"/>
        <v>85</v>
      </c>
      <c r="BA365" s="419">
        <f t="shared" si="924" ref="BA365:BG365">BA272</f>
        <v>19</v>
      </c>
      <c r="BB365" s="419">
        <f t="shared" si="924"/>
        <v>19</v>
      </c>
      <c r="BC365" s="419">
        <f t="shared" si="924"/>
        <v>19</v>
      </c>
      <c r="BD365" s="419">
        <f t="shared" si="924"/>
        <v>19</v>
      </c>
      <c r="BE365" s="1131">
        <f t="shared" si="924"/>
        <v>76</v>
      </c>
      <c r="BF365" s="419">
        <f t="shared" si="924"/>
        <v>19</v>
      </c>
      <c r="BG365" s="419">
        <f t="shared" si="924"/>
        <v>19</v>
      </c>
      <c r="BH365" s="464">
        <f>BH272</f>
        <v>19</v>
      </c>
      <c r="BI365" s="171">
        <f>MAX(0,BI366*AVERAGE(BI355,BH355)*BI$3/BJ$3)</f>
        <v>20.392076502732241</v>
      </c>
      <c r="BJ365" s="1133">
        <f>SUM(BF365,BG365,BH365,BI365)</f>
        <v>77.392076502732237</v>
      </c>
      <c r="BK365" s="171">
        <f>MAX(0,BK366*AVERAGE(BK355,BJ355)*BK$3/BO$3)</f>
        <v>20.003424657534246</v>
      </c>
      <c r="BL365" s="171">
        <f>MAX(0,BL366*AVERAGE(BL355,BK355)*BL$3/BO$3)</f>
        <v>20.225684931506848</v>
      </c>
      <c r="BM365" s="171">
        <f>MAX(0,BM366*AVERAGE(BM355,BL355)*BM$3/BO$3)</f>
        <v>20.447945205479453</v>
      </c>
      <c r="BN365" s="171">
        <f>MAX(0,BN366*AVERAGE(BN355,BM355)*BN$3/BO$3)</f>
        <v>20.447945205479453</v>
      </c>
      <c r="BO365" s="1133">
        <f>SUM(BK365,BL365,BM365,BN365)</f>
        <v>81.125</v>
      </c>
      <c r="BP365" s="1131">
        <f>MAX(0,BP366*AVERAGE(BP355,BO355))</f>
        <v>81.125</v>
      </c>
      <c r="BQ365" s="1131">
        <f>MAX(0,BQ366*AVERAGE(BQ355,BP355))</f>
        <v>81.125</v>
      </c>
      <c r="BR365" s="1133">
        <f>MAX(0,BR366*AVERAGE(BR355,BQ355))</f>
        <v>81.125</v>
      </c>
      <c r="BS365" s="32"/>
    </row>
    <row r="366" spans="1:71" s="670" customFormat="1" ht="15">
      <c r="A366" s="410" t="s">
        <v>499</v>
      </c>
      <c r="B366" s="422"/>
      <c r="C366" s="1173"/>
      <c r="D366" s="1173">
        <f>IFERROR(IF(D365/AVERAGE(D355,C355)&lt;0,"n/a",D365/AVERAGE(D355,C355)),"n/a")</f>
        <v>0.087640449438202248</v>
      </c>
      <c r="E366" s="1173">
        <f>IFERROR(IF(E365/AVERAGE(E355,D355)&lt;0,"n/a",E365/AVERAGE(E355,D355)),"n/a")</f>
        <v>0.090137857900318127</v>
      </c>
      <c r="F366" s="1173">
        <f>IFERROR(IF(F365/AVERAGE(F355,E355)&lt;0,"n/a",F365/AVERAGE(F355,E355)),"n/a")</f>
        <v>0.079491255961844198</v>
      </c>
      <c r="G366" s="1173">
        <f>IFERROR(IF(G365/AVERAGE(G355,F355)&lt;0,"n/a",G365/AVERAGE(G355,F355)),"n/a")</f>
        <v>0.076098606645230438</v>
      </c>
      <c r="H366" s="424">
        <f>IFERROR(IF(H365/AVERAGE(H355,G355)&lt;0,"n/a",H365/AVERAGE(H355,G355)*$L$3/H3),"n/a")</f>
        <v>0.079956188389923341</v>
      </c>
      <c r="I366" s="424">
        <f>IFERROR(IF(I365/AVERAGE(I355,H355)&lt;0,"n/a",I365/AVERAGE(I355,H355)*$L$3/I3),"n/a")</f>
        <v>0.074725274725274723</v>
      </c>
      <c r="J366" s="424">
        <f>IFERROR(IF(J365/AVERAGE(J355,I355)&lt;0,"n/a",J365/AVERAGE(J355,I355)*$L$3/J3),"n/a")</f>
        <v>0.072353640808774933</v>
      </c>
      <c r="K366" s="424">
        <f>IFERROR(IF(K365/AVERAGE(K355,J355)&lt;0,"n/a",K365/AVERAGE(K355,J355)*$L$3/K3),"n/a")</f>
        <v>0.07475066046816442</v>
      </c>
      <c r="L366" s="1173">
        <f>IFERROR(IF(L365/AVERAGE(K355,J355,I355,H355)&lt;0,"n/a",L365/AVERAGE(K355,J355,I355,H355)),"n/a")</f>
        <v>0.073961499493414393</v>
      </c>
      <c r="M366" s="424">
        <f>IFERROR(IF(M365/AVERAGE(M355,L355)&lt;0,"n/a",M365/AVERAGE(M355,L355)*$Q$3/M3),"n/a")</f>
        <v>0.076447795580689065</v>
      </c>
      <c r="N366" s="424">
        <f>IFERROR(IF(N365/AVERAGE(N355,M355)&lt;0,"n/a",N365/AVERAGE(N355,M355)*$Q$3/N3),"n/a")</f>
        <v>0.076949429467415065</v>
      </c>
      <c r="O366" s="424">
        <f>IFERROR(IF(O365/AVERAGE(O355,N355)&lt;0,"n/a",O365/AVERAGE(O355,N355)*$Q$3/O3),"n/a")</f>
        <v>0.075013701132626953</v>
      </c>
      <c r="P366" s="424">
        <f>IFERROR(IF(P365/AVERAGE(P355,O355)&lt;0,"n/a",P365/AVERAGE(P355,O355)*$Q$3/P3),"n/a")</f>
        <v>0.071827105616520809</v>
      </c>
      <c r="Q366" s="1173">
        <f>IFERROR(IF(Q365/AVERAGE(P355,O355,N355,M355)&lt;0,"n/a",Q365/AVERAGE(P355,O355,N355,M355)),"n/a")</f>
        <v>0.075700227100681305</v>
      </c>
      <c r="R366" s="424">
        <f>IFERROR(IF(R365/AVERAGE(R355,Q355)&lt;0,"n/a",R365/AVERAGE(R355,Q355)*$V$3/R3),"n/a")</f>
        <v>0.07254068576713868</v>
      </c>
      <c r="S366" s="424">
        <f>IFERROR(IF(S365/AVERAGE(S355,R355)&lt;0,"n/a",S365/AVERAGE(S355,R355)*$V$3/S3),"n/a")</f>
        <v>0.076570723865313051</v>
      </c>
      <c r="T366" s="424">
        <f>IFERROR(IF(T365/AVERAGE(T355,S355)&lt;0,"n/a",T365/AVERAGE(T355,S355)*$V$3/T3),"n/a")</f>
        <v>0.065784992621182883</v>
      </c>
      <c r="U366" s="424">
        <f>IFERROR(IF(U365/AVERAGE(U355,T355)&lt;0,"n/a",U365/AVERAGE(U355,T355)*$V$3/U3),"n/a")</f>
        <v>0.064687168610816553</v>
      </c>
      <c r="V366" s="1173">
        <f>IFERROR(IF(V365/AVERAGE(U355,T355,S355,R355)&lt;0,"n/a",V365/AVERAGE(U355,T355,S355,R355)),"n/a")</f>
        <v>0.067263594671325616</v>
      </c>
      <c r="W366" s="424">
        <f>IFERROR(IF(W365/AVERAGE(W355,V355)&lt;0,"n/a",W365/AVERAGE(W355,V355)*$AA$3/W3),"n/a")</f>
        <v>0.066380878150168882</v>
      </c>
      <c r="X366" s="424">
        <f>IFERROR(IF(X365/AVERAGE(X355,W355)&lt;0,"n/a",X365/AVERAGE(X355,W355)*$AA$3/X3),"n/a")</f>
        <v>0.068640436944008384</v>
      </c>
      <c r="Y366" s="424">
        <f>IFERROR(IF(Y365/AVERAGE(Y355,X355)&lt;0,"n/a",Y365/AVERAGE(Y355,X355)*$AA$3/Y3),"n/a")</f>
        <v>0.061967435768913608</v>
      </c>
      <c r="Z366" s="424">
        <f>IFERROR(IF(Z365/AVERAGE(Z355,Y355)&lt;0,"n/a",Z365/AVERAGE(Z355,Y355)*$AA$3/Z3),"n/a")</f>
        <v>0.061390967958960554</v>
      </c>
      <c r="AA366" s="1173">
        <f>IFERROR(IF(AA365/AVERAGE(Z355,Y355,X355,W355)&lt;0,"n/a",AA365/AVERAGE(Z355,Y355,X355,W355)),"n/a")</f>
        <v>0.06447942347809596</v>
      </c>
      <c r="AB366" s="424">
        <f>IFERROR(IF(AB365/AVERAGE(AB355,AA355)&lt;0,"n/a",AB365/AVERAGE(AB355,AA355)*$AF$3/AB3),"n/a")</f>
        <v>0.046758903407635145</v>
      </c>
      <c r="AC366" s="424">
        <f>IFERROR(IF(AC365/AVERAGE(AC355,AB355)&lt;0,"n/a",AC365/AVERAGE(AC355,AB355)*$AF$3/AC3),"n/a")</f>
        <v>0.049328073924538189</v>
      </c>
      <c r="AD366" s="424">
        <f>IFERROR(IF(AD365/AVERAGE(AD355,AC355)&lt;0,"n/a",AD365/AVERAGE(AD355,AC355)*$AF$3/AD3),"n/a")</f>
        <v>0.045724832551069836</v>
      </c>
      <c r="AE366" s="424">
        <f>IFERROR(IF(AE365/AVERAGE(AE355,AD355)&lt;0,"n/a",AE365/AVERAGE(AE355,AD355)*$AF$3/AE3),"n/a")</f>
        <v>0.04875442463100247</v>
      </c>
      <c r="AF366" s="1173">
        <f>IFERROR(IF(AF365/AVERAGE(AE355,AD355,AC355,AB355)&lt;0,"n/a",AF365/AVERAGE(AE355,AD355,AC355,AB355)),"n/a")</f>
        <v>0.047637341529004992</v>
      </c>
      <c r="AG366" s="424">
        <f>IFERROR(IF(AG365/AVERAGE(AG355,AF355)&lt;0,"n/a",AG365/AVERAGE(AG355,AF355)*$AK$3/AG3),"n/a")</f>
        <v>0.047624872579001019</v>
      </c>
      <c r="AH366" s="424">
        <f>IFERROR(IF(AH365/AVERAGE(AH355,AG355)&lt;0,"n/a",AH365/AVERAGE(AH355,AG355)*$AK$3/AH3),"n/a")</f>
        <v>0.047917648058196191</v>
      </c>
      <c r="AI366" s="424">
        <f>IFERROR(IF(AI365/AVERAGE(AI355,AH355)&lt;0,"n/a",AI365/AVERAGE(AI355,AH355)*$AK$3/AI3),"n/a")</f>
        <v>0.047396804057563628</v>
      </c>
      <c r="AJ366" s="424">
        <f>IFERROR(IF(AJ365/AVERAGE(AJ355,AI355)&lt;0,"n/a",AJ365/AVERAGE(AJ355,AI355)*$AK$3/AJ3),"n/a")</f>
        <v>0.049318400192169105</v>
      </c>
      <c r="AK366" s="1173">
        <f>IFERROR(IF(AK365/AVERAGE(AJ355,AI355,AH355,AG355)&lt;0,"n/a",AK365/AVERAGE(AJ355,AI355,AH355,AG355)),"n/a")</f>
        <v>0.047370254266805988</v>
      </c>
      <c r="AL366" s="424">
        <f>IFERROR(IF(AL365/AVERAGE(AL355,AK355)&lt;0,"n/a",AL365/AVERAGE(AL355,AK355)*AP3/AL3),"n/a")</f>
        <v>0.046417940511626871</v>
      </c>
      <c r="AM366" s="424">
        <f>IFERROR(IF(AM365/AVERAGE(AM355,AL355)&lt;0,"n/a",AM365/AVERAGE(AM355,AL355)*AP3/AM3),"n/a")</f>
        <v>0.054656126738844617</v>
      </c>
      <c r="AN366" s="424">
        <f>IFERROR(IF(AN365/AVERAGE(AN355,AM355)&lt;0,"n/a",AN365/AVERAGE(AN355,AM355)*AP3/AN3),"n/a")</f>
        <v>0.047501622323166771</v>
      </c>
      <c r="AO366" s="424">
        <f>IFERROR(IF(AO365/AVERAGE(AO355,AN355)&lt;0,"n/a",AO365/AVERAGE(AO355,AN355)*AP3/AO3),"n/a")</f>
        <v>0.046906539361122677</v>
      </c>
      <c r="AP366" s="1173">
        <f>IFERROR(IF(AP365/AVERAGE(AO355,AN355,AM355,AL355)&lt;0,"n/a",AP365/AVERAGE(AO355,AN355,AM355,AL355)),"n/a")</f>
        <v>0.047210300429184553</v>
      </c>
      <c r="AQ366" s="424">
        <f>IFERROR(IF(AQ365/AVERAGE(AQ355,AP355)&lt;0,"n/a",AQ365/AVERAGE(AQ355,AP355)*AU3/AQ3),"n/a")</f>
        <v>0.049583970113771435</v>
      </c>
      <c r="AR366" s="424">
        <f>IFERROR(IF(AR365/AVERAGE(AR355,AQ355)&lt;0,"n/a",AR365/AVERAGE(AR355,AQ355)*AU3/AR3),"n/a")</f>
        <v>0.046995795849591071</v>
      </c>
      <c r="AS366" s="424">
        <f>IFERROR(IF(AS365/AVERAGE(AS355,AR355)&lt;0,"n/a",AS365/AVERAGE(AS355,AR355)*AU3/AS3),"n/a")</f>
        <v>0.048493705782708341</v>
      </c>
      <c r="AT366" s="424">
        <f>IFERROR(IF(AT365/AVERAGE(AT355,AS355)&lt;0,"n/a",AT365/AVERAGE(AT355,AS355)*AU3/AT3),"n/a")</f>
        <v>0.046461303462321794</v>
      </c>
      <c r="AU366" s="1173">
        <f>IFERROR(IF(AU365/AVERAGE(AT355,AS355,AR355,AQ355)&lt;0,"n/a",AU365/AVERAGE(AT355,AS355,AR355,AQ355)),"n/a")</f>
        <v>0.04787369493251846</v>
      </c>
      <c r="AV366" s="424">
        <f>IFERROR(IF(AV365/AVERAGE(AV355,AU355)&lt;0,"n/a",AV365/AVERAGE(AV355,AU355)*AZ3/AV3),"n/a")</f>
        <v>0.048068939849408805</v>
      </c>
      <c r="AW366" s="424">
        <f>IFERROR(IF(AW365/AVERAGE(AW355,AV355)&lt;0,"n/a",AW365/AVERAGE(AW355,AV355)*AZ3/AW3),"n/a")</f>
        <v>0.053340703817720291</v>
      </c>
      <c r="AX366" s="424">
        <f>IFERROR(IF(AX365/AVERAGE(AX355,AW355)&lt;0,"n/a",AX365/AVERAGE(AX355,AW355)*AZ3/AX3),"n/a")</f>
        <v>0.049027925061859316</v>
      </c>
      <c r="AY366" s="424">
        <f>IFERROR(IF(AY365/AVERAGE(AY355,AX355)&lt;0,"n/a",AY365/AVERAGE(AY355,AX355)*AZ3/AY3),"n/a")</f>
        <v>0.052392093817732931</v>
      </c>
      <c r="AZ366" s="1173">
        <f>IFERROR(IF(AZ365/AVERAGE(AY355,AX355,AW355,AV355)&lt;0,"n/a",AZ365/AVERAGE(AY355,AX355,AW355,AV355)),"n/a")</f>
        <v>0.052404438964241677</v>
      </c>
      <c r="BA366" s="424">
        <f>IFERROR(IF(BA365/AVERAGE(BA355,AZ355)&lt;0,"n/a",BA365/AVERAGE(BA355,AZ355)*BE3/BA3),"n/a")</f>
        <v>0.051819472465067622</v>
      </c>
      <c r="BB366" s="424">
        <f>IFERROR(IF(BB365/AVERAGE(BB355,BA355)&lt;0,"n/a",BB365/AVERAGE(BB355,BA355)*BF3/BB3),"n/a")</f>
        <v>0.012872628726287264</v>
      </c>
      <c r="BC366" s="424">
        <f>IFERROR(IF(BC365/AVERAGE(BC355,BB355)&lt;0,"n/a",BC365/AVERAGE(BC355,BB355)*BE3/BC3),"n/a")</f>
        <v>0.051140050734469943</v>
      </c>
      <c r="BD366" s="424">
        <f>IFERROR(IF(BD365/AVERAGE(BD355,BC355)&lt;0,"n/a",BD365/AVERAGE(BD355,BC355)*BE3/BD3),"n/a")</f>
        <v>0.051122709245580669</v>
      </c>
      <c r="BE366" s="1173">
        <f>IFERROR(IF(BE365/AVERAGE(BD355,BC355,BB355,BA355)&lt;0,"n/a",BE365/AVERAGE(BD355,BC355,BB355,BA355)),"n/a")</f>
        <v>0.051516692086087106</v>
      </c>
      <c r="BF366" s="424">
        <f>IFERROR(IF(BF365/AVERAGE(BF355,BE355)&lt;0,"n/a",BF365/AVERAGE(BF355,BE355)*BJ3/BF3),"n/a")</f>
        <v>0.051808530452598249</v>
      </c>
      <c r="BG366" s="424">
        <f>IFERROR(IF(BG365/AVERAGE(BG355,BF355)&lt;0,"n/a",BG365/AVERAGE(BG355,BF355)*BK3/BG3),"n/a")</f>
        <v>0.012739802570311045</v>
      </c>
      <c r="BH366" s="884">
        <f>IFERROR(IF(BH365/AVERAGE(BH355,BG355)&lt;0,"n/a",BH365/AVERAGE(BH355,BG355)*BJ3/BH3),"n/a")</f>
        <v>0.051245394252026524</v>
      </c>
      <c r="BI366" s="1069">
        <v>0.055</v>
      </c>
      <c r="BJ366" s="1174">
        <f>IFERROR(IF(BJ365/AVERAGE(BI355,BH355,BG355,BF355)&lt;0,"n/a",BJ365/AVERAGE(BI355,BH355,BG355,BF355)),"n/a")</f>
        <v>0.052469204408632023</v>
      </c>
      <c r="BK366" s="1069">
        <v>0.055</v>
      </c>
      <c r="BL366" s="1069">
        <v>0.055</v>
      </c>
      <c r="BM366" s="1069">
        <v>0.055</v>
      </c>
      <c r="BN366" s="1069">
        <v>0.055</v>
      </c>
      <c r="BO366" s="1174">
        <f>IFERROR(IF(BO365/AVERAGE(BN355,BM355,BL355,BK355)&lt;0,"n/a",BO365/AVERAGE(BN355,BM355,BL355,BK355)),"n/a")</f>
        <v>0.055</v>
      </c>
      <c r="BP366" s="1203">
        <v>0.055</v>
      </c>
      <c r="BQ366" s="1203">
        <v>0.055</v>
      </c>
      <c r="BR366" s="1204">
        <v>0.055</v>
      </c>
      <c r="BS366" s="29"/>
    </row>
    <row r="367" spans="1:71" s="666" customFormat="1" ht="15">
      <c r="A367" s="531"/>
      <c r="B367" s="531"/>
      <c r="C367" s="1243"/>
      <c r="D367" s="1243"/>
      <c r="E367" s="1243"/>
      <c r="F367" s="1243"/>
      <c r="G367" s="1243"/>
      <c r="H367" s="532"/>
      <c r="I367" s="532"/>
      <c r="J367" s="532"/>
      <c r="K367" s="532"/>
      <c r="L367" s="1243"/>
      <c r="M367" s="532"/>
      <c r="N367" s="532"/>
      <c r="O367" s="532"/>
      <c r="P367" s="532"/>
      <c r="Q367" s="1243"/>
      <c r="R367" s="532"/>
      <c r="S367" s="532"/>
      <c r="T367" s="532"/>
      <c r="U367" s="532"/>
      <c r="V367" s="1243"/>
      <c r="W367" s="532"/>
      <c r="X367" s="532"/>
      <c r="Y367" s="532"/>
      <c r="Z367" s="532"/>
      <c r="AA367" s="1243"/>
      <c r="AB367" s="532"/>
      <c r="AC367" s="532"/>
      <c r="AD367" s="532"/>
      <c r="AE367" s="532"/>
      <c r="AF367" s="1243"/>
      <c r="AG367" s="532"/>
      <c r="AH367" s="532"/>
      <c r="AI367" s="532"/>
      <c r="AJ367" s="532"/>
      <c r="AK367" s="1243"/>
      <c r="AL367" s="532"/>
      <c r="AM367" s="532"/>
      <c r="AN367" s="532"/>
      <c r="AO367" s="532"/>
      <c r="AP367" s="1243"/>
      <c r="AQ367" s="532"/>
      <c r="AR367" s="532"/>
      <c r="AS367" s="532"/>
      <c r="AT367" s="532"/>
      <c r="AU367" s="1243"/>
      <c r="AV367" s="532"/>
      <c r="AW367" s="532"/>
      <c r="AX367" s="532"/>
      <c r="AY367" s="532"/>
      <c r="AZ367" s="1243"/>
      <c r="BA367" s="532"/>
      <c r="BB367" s="532"/>
      <c r="BC367" s="532"/>
      <c r="BD367" s="532"/>
      <c r="BE367" s="1243"/>
      <c r="BF367" s="532"/>
      <c r="BG367" s="532"/>
      <c r="BH367" s="899"/>
      <c r="BI367" s="533"/>
      <c r="BJ367" s="1244"/>
      <c r="BK367" s="533"/>
      <c r="BL367" s="533"/>
      <c r="BM367" s="533"/>
      <c r="BN367" s="533"/>
      <c r="BO367" s="1244"/>
      <c r="BP367" s="1243"/>
      <c r="BQ367" s="1243"/>
      <c r="BR367" s="1244"/>
      <c r="BS367" s="20"/>
    </row>
    <row r="368" spans="1:71" s="672" customFormat="1" ht="15">
      <c r="A368" s="951" t="s">
        <v>248</v>
      </c>
      <c r="B368" s="951"/>
      <c r="C368" s="967"/>
      <c r="D368" s="967"/>
      <c r="E368" s="967"/>
      <c r="F368" s="967"/>
      <c r="G368" s="967"/>
      <c r="H368" s="967"/>
      <c r="I368" s="967"/>
      <c r="J368" s="967"/>
      <c r="K368" s="967"/>
      <c r="L368" s="967"/>
      <c r="M368" s="967"/>
      <c r="N368" s="967"/>
      <c r="O368" s="967"/>
      <c r="P368" s="967"/>
      <c r="Q368" s="967"/>
      <c r="R368" s="967"/>
      <c r="S368" s="967"/>
      <c r="T368" s="967"/>
      <c r="U368" s="967"/>
      <c r="V368" s="967"/>
      <c r="W368" s="967"/>
      <c r="X368" s="967"/>
      <c r="Y368" s="967"/>
      <c r="Z368" s="967"/>
      <c r="AA368" s="967"/>
      <c r="AB368" s="967"/>
      <c r="AC368" s="967"/>
      <c r="AD368" s="967"/>
      <c r="AE368" s="967"/>
      <c r="AF368" s="967"/>
      <c r="AG368" s="967"/>
      <c r="AH368" s="967"/>
      <c r="AI368" s="967"/>
      <c r="AJ368" s="967"/>
      <c r="AK368" s="967"/>
      <c r="AL368" s="967"/>
      <c r="AM368" s="967"/>
      <c r="AN368" s="967"/>
      <c r="AO368" s="967"/>
      <c r="AP368" s="967"/>
      <c r="AQ368" s="967"/>
      <c r="AR368" s="967"/>
      <c r="AS368" s="967"/>
      <c r="AT368" s="967"/>
      <c r="AU368" s="967"/>
      <c r="AV368" s="967"/>
      <c r="AW368" s="967"/>
      <c r="AX368" s="967"/>
      <c r="AY368" s="967"/>
      <c r="AZ368" s="967"/>
      <c r="BA368" s="967"/>
      <c r="BB368" s="967"/>
      <c r="BC368" s="967"/>
      <c r="BD368" s="967"/>
      <c r="BE368" s="967"/>
      <c r="BF368" s="967"/>
      <c r="BG368" s="967"/>
      <c r="BH368" s="968"/>
      <c r="BI368" s="969"/>
      <c r="BJ368" s="969"/>
      <c r="BK368" s="969"/>
      <c r="BL368" s="969"/>
      <c r="BM368" s="969"/>
      <c r="BN368" s="969"/>
      <c r="BO368" s="969"/>
      <c r="BP368" s="967"/>
      <c r="BQ368" s="967"/>
      <c r="BR368" s="969"/>
      <c r="BS368" s="456"/>
    </row>
    <row r="369" spans="1:71" s="673" customFormat="1" ht="15" hidden="1" outlineLevel="1">
      <c r="A369" s="114" t="s">
        <v>249</v>
      </c>
      <c r="B369" s="417"/>
      <c r="C369" s="1132">
        <v>2061</v>
      </c>
      <c r="D369" s="1132">
        <v>2101</v>
      </c>
      <c r="E369" s="1132">
        <v>1976</v>
      </c>
      <c r="F369" s="1132">
        <v>2015</v>
      </c>
      <c r="G369" s="1132">
        <v>1896</v>
      </c>
      <c r="H369" s="419"/>
      <c r="I369" s="419"/>
      <c r="J369" s="419"/>
      <c r="K369" s="419"/>
      <c r="L369" s="1132">
        <v>2286</v>
      </c>
      <c r="M369" s="419"/>
      <c r="N369" s="419"/>
      <c r="O369" s="419"/>
      <c r="P369" s="419"/>
      <c r="Q369" s="1132">
        <v>2488</v>
      </c>
      <c r="R369" s="419"/>
      <c r="S369" s="419"/>
      <c r="T369" s="419"/>
      <c r="U369" s="419"/>
      <c r="V369" s="1132">
        <v>2939</v>
      </c>
      <c r="W369" s="419"/>
      <c r="X369" s="419"/>
      <c r="Y369" s="419"/>
      <c r="Z369" s="419"/>
      <c r="AA369" s="1132">
        <v>2729</v>
      </c>
      <c r="AB369" s="419"/>
      <c r="AC369" s="419"/>
      <c r="AD369" s="419"/>
      <c r="AE369" s="419"/>
      <c r="AF369" s="1132">
        <v>2867</v>
      </c>
      <c r="AG369" s="419"/>
      <c r="AH369" s="419"/>
      <c r="AI369" s="419"/>
      <c r="AJ369" s="419"/>
      <c r="AK369" s="1132">
        <v>3342</v>
      </c>
      <c r="AL369" s="419"/>
      <c r="AM369" s="419"/>
      <c r="AN369" s="419"/>
      <c r="AO369" s="419"/>
      <c r="AP369" s="1132">
        <v>3643</v>
      </c>
      <c r="AQ369" s="419"/>
      <c r="AR369" s="419"/>
      <c r="AS369" s="419"/>
      <c r="AT369" s="419"/>
      <c r="AU369" s="1132">
        <v>4221</v>
      </c>
      <c r="AV369" s="419"/>
      <c r="AW369" s="419"/>
      <c r="AX369" s="419"/>
      <c r="AY369" s="419"/>
      <c r="AZ369" s="1132">
        <v>4356</v>
      </c>
      <c r="BA369" s="419"/>
      <c r="BB369" s="419"/>
      <c r="BC369" s="419"/>
      <c r="BD369" s="419"/>
      <c r="BE369" s="1132">
        <v>4436</v>
      </c>
      <c r="BF369" s="419"/>
      <c r="BG369" s="419"/>
      <c r="BH369" s="464"/>
      <c r="BI369" s="171"/>
      <c r="BJ369" s="1133"/>
      <c r="BK369" s="171"/>
      <c r="BL369" s="171"/>
      <c r="BM369" s="171"/>
      <c r="BN369" s="171"/>
      <c r="BO369" s="1133"/>
      <c r="BP369" s="1131"/>
      <c r="BQ369" s="1131"/>
      <c r="BR369" s="1133"/>
      <c r="BS369" s="32"/>
    </row>
    <row r="370" spans="1:71" s="673" customFormat="1" ht="15" hidden="1" outlineLevel="1">
      <c r="A370" s="115" t="s">
        <v>250</v>
      </c>
      <c r="B370" s="511"/>
      <c r="C370" s="1135">
        <v>1023</v>
      </c>
      <c r="D370" s="1135">
        <v>1153</v>
      </c>
      <c r="E370" s="1135">
        <v>1225</v>
      </c>
      <c r="F370" s="1135">
        <v>1343</v>
      </c>
      <c r="G370" s="1135">
        <v>1619</v>
      </c>
      <c r="H370" s="363"/>
      <c r="I370" s="363"/>
      <c r="J370" s="363"/>
      <c r="K370" s="363"/>
      <c r="L370" s="1135">
        <v>1714</v>
      </c>
      <c r="M370" s="363"/>
      <c r="N370" s="363"/>
      <c r="O370" s="363"/>
      <c r="P370" s="363"/>
      <c r="Q370" s="1135">
        <v>1721</v>
      </c>
      <c r="R370" s="363"/>
      <c r="S370" s="363"/>
      <c r="T370" s="363"/>
      <c r="U370" s="363"/>
      <c r="V370" s="1135">
        <v>1976</v>
      </c>
      <c r="W370" s="363"/>
      <c r="X370" s="363"/>
      <c r="Y370" s="363"/>
      <c r="Z370" s="363"/>
      <c r="AA370" s="1135">
        <v>2132</v>
      </c>
      <c r="AB370" s="363"/>
      <c r="AC370" s="363"/>
      <c r="AD370" s="363"/>
      <c r="AE370" s="363"/>
      <c r="AF370" s="1135">
        <v>2701</v>
      </c>
      <c r="AG370" s="363"/>
      <c r="AH370" s="363"/>
      <c r="AI370" s="363"/>
      <c r="AJ370" s="363"/>
      <c r="AK370" s="1135">
        <v>2868</v>
      </c>
      <c r="AL370" s="363"/>
      <c r="AM370" s="363"/>
      <c r="AN370" s="363"/>
      <c r="AO370" s="363"/>
      <c r="AP370" s="1135">
        <v>2897</v>
      </c>
      <c r="AQ370" s="363"/>
      <c r="AR370" s="363"/>
      <c r="AS370" s="363"/>
      <c r="AT370" s="363"/>
      <c r="AU370" s="1134"/>
      <c r="AV370" s="363"/>
      <c r="AW370" s="363"/>
      <c r="AX370" s="363"/>
      <c r="AY370" s="363"/>
      <c r="AZ370" s="1134"/>
      <c r="BA370" s="363"/>
      <c r="BB370" s="363"/>
      <c r="BC370" s="363"/>
      <c r="BD370" s="363"/>
      <c r="BE370" s="1134"/>
      <c r="BF370" s="363"/>
      <c r="BG370" s="363"/>
      <c r="BH370" s="773"/>
      <c r="BI370" s="363"/>
      <c r="BJ370" s="1134"/>
      <c r="BK370" s="363"/>
      <c r="BL370" s="363"/>
      <c r="BM370" s="363"/>
      <c r="BN370" s="363"/>
      <c r="BO370" s="1134"/>
      <c r="BP370" s="1134"/>
      <c r="BQ370" s="1134"/>
      <c r="BR370" s="1134"/>
      <c r="BS370" s="32"/>
    </row>
    <row r="371" spans="1:71" s="674" customFormat="1" ht="15" hidden="1" outlineLevel="1">
      <c r="A371" s="37" t="s">
        <v>251</v>
      </c>
      <c r="B371" s="509"/>
      <c r="C371" s="1180">
        <f t="shared" si="925" ref="C371:AK371">SUM(C369:C370)</f>
        <v>3084</v>
      </c>
      <c r="D371" s="1180">
        <f t="shared" si="925"/>
        <v>3254</v>
      </c>
      <c r="E371" s="1180">
        <f t="shared" si="925"/>
        <v>3201</v>
      </c>
      <c r="F371" s="1180">
        <f t="shared" si="925"/>
        <v>3358</v>
      </c>
      <c r="G371" s="1180">
        <f t="shared" si="925"/>
        <v>3515</v>
      </c>
      <c r="H371" s="287">
        <f t="shared" si="925"/>
        <v>0</v>
      </c>
      <c r="I371" s="287">
        <f t="shared" si="925"/>
        <v>0</v>
      </c>
      <c r="J371" s="287">
        <f t="shared" si="925"/>
        <v>0</v>
      </c>
      <c r="K371" s="287">
        <f t="shared" si="925"/>
        <v>0</v>
      </c>
      <c r="L371" s="1180">
        <f t="shared" si="925"/>
        <v>4000</v>
      </c>
      <c r="M371" s="287">
        <f t="shared" si="925"/>
        <v>0</v>
      </c>
      <c r="N371" s="287">
        <f t="shared" si="925"/>
        <v>0</v>
      </c>
      <c r="O371" s="287">
        <f t="shared" si="925"/>
        <v>0</v>
      </c>
      <c r="P371" s="287">
        <f t="shared" si="925"/>
        <v>0</v>
      </c>
      <c r="Q371" s="1180">
        <f t="shared" si="925"/>
        <v>4209</v>
      </c>
      <c r="R371" s="287">
        <f t="shared" si="925"/>
        <v>0</v>
      </c>
      <c r="S371" s="287">
        <f t="shared" si="925"/>
        <v>0</v>
      </c>
      <c r="T371" s="287">
        <f t="shared" si="925"/>
        <v>0</v>
      </c>
      <c r="U371" s="287">
        <f t="shared" si="925"/>
        <v>0</v>
      </c>
      <c r="V371" s="1180">
        <f t="shared" si="925"/>
        <v>4915</v>
      </c>
      <c r="W371" s="287">
        <f t="shared" si="925"/>
        <v>0</v>
      </c>
      <c r="X371" s="287">
        <f t="shared" si="925"/>
        <v>0</v>
      </c>
      <c r="Y371" s="287">
        <f t="shared" si="925"/>
        <v>0</v>
      </c>
      <c r="Z371" s="287">
        <f t="shared" si="925"/>
        <v>0</v>
      </c>
      <c r="AA371" s="1180">
        <f t="shared" si="925"/>
        <v>4861</v>
      </c>
      <c r="AB371" s="287">
        <f t="shared" si="925"/>
        <v>0</v>
      </c>
      <c r="AC371" s="287">
        <f t="shared" si="925"/>
        <v>0</v>
      </c>
      <c r="AD371" s="287">
        <f t="shared" si="925"/>
        <v>0</v>
      </c>
      <c r="AE371" s="287">
        <f t="shared" si="925"/>
        <v>0</v>
      </c>
      <c r="AF371" s="1180">
        <f t="shared" si="925"/>
        <v>5568</v>
      </c>
      <c r="AG371" s="287">
        <f t="shared" si="925"/>
        <v>0</v>
      </c>
      <c r="AH371" s="287">
        <f t="shared" si="925"/>
        <v>0</v>
      </c>
      <c r="AI371" s="287">
        <f t="shared" si="925"/>
        <v>0</v>
      </c>
      <c r="AJ371" s="287">
        <f t="shared" si="925"/>
        <v>0</v>
      </c>
      <c r="AK371" s="1180">
        <f t="shared" si="925"/>
        <v>6210</v>
      </c>
      <c r="AL371" s="426"/>
      <c r="AM371" s="426"/>
      <c r="AN371" s="426"/>
      <c r="AO371" s="426"/>
      <c r="AP371" s="1180">
        <f>SUM(AP369:AP370)</f>
        <v>6540</v>
      </c>
      <c r="AQ371" s="426"/>
      <c r="AR371" s="426"/>
      <c r="AS371" s="426"/>
      <c r="AT371" s="426"/>
      <c r="AU371" s="1147">
        <f>SUM(AU369:AU370)</f>
        <v>4221</v>
      </c>
      <c r="AV371" s="426"/>
      <c r="AW371" s="426"/>
      <c r="AX371" s="426"/>
      <c r="AY371" s="426"/>
      <c r="AZ371" s="1147">
        <f>SUM(AZ369:AZ370)</f>
        <v>4356</v>
      </c>
      <c r="BA371" s="426"/>
      <c r="BB371" s="426"/>
      <c r="BC371" s="426"/>
      <c r="BD371" s="426"/>
      <c r="BE371" s="1147">
        <f>SUM(BE369:BE370)</f>
        <v>4436</v>
      </c>
      <c r="BF371" s="426"/>
      <c r="BG371" s="426"/>
      <c r="BH371" s="487"/>
      <c r="BI371" s="159"/>
      <c r="BJ371" s="1148"/>
      <c r="BK371" s="159"/>
      <c r="BL371" s="159"/>
      <c r="BM371" s="159"/>
      <c r="BN371" s="159"/>
      <c r="BO371" s="1148"/>
      <c r="BP371" s="1147"/>
      <c r="BQ371" s="1147"/>
      <c r="BR371" s="1148"/>
      <c r="BS371" s="37"/>
    </row>
    <row r="372" spans="1:71" s="673" customFormat="1" ht="15" hidden="1" outlineLevel="1">
      <c r="A372" s="114" t="s">
        <v>252</v>
      </c>
      <c r="B372" s="417"/>
      <c r="C372" s="1132">
        <v>574</v>
      </c>
      <c r="D372" s="1132">
        <v>624</v>
      </c>
      <c r="E372" s="1132">
        <v>375</v>
      </c>
      <c r="F372" s="1132">
        <v>221</v>
      </c>
      <c r="G372" s="1132">
        <v>332</v>
      </c>
      <c r="H372" s="419"/>
      <c r="I372" s="419"/>
      <c r="J372" s="419"/>
      <c r="K372" s="419"/>
      <c r="L372" s="1132">
        <v>318</v>
      </c>
      <c r="M372" s="419"/>
      <c r="N372" s="419"/>
      <c r="O372" s="419"/>
      <c r="P372" s="419"/>
      <c r="Q372" s="1132">
        <v>408</v>
      </c>
      <c r="R372" s="419"/>
      <c r="S372" s="419"/>
      <c r="T372" s="419"/>
      <c r="U372" s="419"/>
      <c r="V372" s="1132">
        <v>461</v>
      </c>
      <c r="W372" s="419"/>
      <c r="X372" s="419"/>
      <c r="Y372" s="419"/>
      <c r="Z372" s="419"/>
      <c r="AA372" s="1132">
        <v>484</v>
      </c>
      <c r="AB372" s="419"/>
      <c r="AC372" s="419"/>
      <c r="AD372" s="419"/>
      <c r="AE372" s="419"/>
      <c r="AF372" s="1132">
        <v>546</v>
      </c>
      <c r="AG372" s="419"/>
      <c r="AH372" s="419"/>
      <c r="AI372" s="419"/>
      <c r="AJ372" s="419"/>
      <c r="AK372" s="1132">
        <v>584</v>
      </c>
      <c r="AL372" s="419"/>
      <c r="AM372" s="419"/>
      <c r="AN372" s="419"/>
      <c r="AO372" s="419"/>
      <c r="AP372" s="1132">
        <v>481</v>
      </c>
      <c r="AQ372" s="419"/>
      <c r="AR372" s="419"/>
      <c r="AS372" s="419"/>
      <c r="AT372" s="419"/>
      <c r="AU372" s="1132">
        <v>1007</v>
      </c>
      <c r="AV372" s="419"/>
      <c r="AW372" s="419"/>
      <c r="AX372" s="419"/>
      <c r="AY372" s="419"/>
      <c r="AZ372" s="1132">
        <v>912</v>
      </c>
      <c r="BA372" s="419"/>
      <c r="BB372" s="419"/>
      <c r="BC372" s="419"/>
      <c r="BD372" s="419"/>
      <c r="BE372" s="1132">
        <v>1004</v>
      </c>
      <c r="BF372" s="419"/>
      <c r="BG372" s="419"/>
      <c r="BH372" s="464"/>
      <c r="BI372" s="171"/>
      <c r="BJ372" s="1133"/>
      <c r="BK372" s="171"/>
      <c r="BL372" s="171"/>
      <c r="BM372" s="171"/>
      <c r="BN372" s="171"/>
      <c r="BO372" s="1133"/>
      <c r="BP372" s="1131"/>
      <c r="BQ372" s="1131"/>
      <c r="BR372" s="1133"/>
      <c r="BS372" s="32"/>
    </row>
    <row r="373" spans="1:71" s="673" customFormat="1" ht="15" hidden="1" outlineLevel="1">
      <c r="A373" s="115" t="s">
        <v>253</v>
      </c>
      <c r="B373" s="511"/>
      <c r="C373" s="1135">
        <v>-76</v>
      </c>
      <c r="D373" s="1135">
        <v>213</v>
      </c>
      <c r="E373" s="1135">
        <v>190</v>
      </c>
      <c r="F373" s="1135">
        <v>171</v>
      </c>
      <c r="G373" s="1135">
        <v>294</v>
      </c>
      <c r="H373" s="363"/>
      <c r="I373" s="363"/>
      <c r="J373" s="363"/>
      <c r="K373" s="363"/>
      <c r="L373" s="1135">
        <v>349</v>
      </c>
      <c r="M373" s="363"/>
      <c r="N373" s="363"/>
      <c r="O373" s="363"/>
      <c r="P373" s="363"/>
      <c r="Q373" s="1135">
        <v>399</v>
      </c>
      <c r="R373" s="363"/>
      <c r="S373" s="363"/>
      <c r="T373" s="363"/>
      <c r="U373" s="363"/>
      <c r="V373" s="1135">
        <v>167</v>
      </c>
      <c r="W373" s="363"/>
      <c r="X373" s="363"/>
      <c r="Y373" s="363"/>
      <c r="Z373" s="363"/>
      <c r="AA373" s="1135">
        <v>286</v>
      </c>
      <c r="AB373" s="363"/>
      <c r="AC373" s="363"/>
      <c r="AD373" s="363"/>
      <c r="AE373" s="363"/>
      <c r="AF373" s="1135">
        <v>802</v>
      </c>
      <c r="AG373" s="363"/>
      <c r="AH373" s="363"/>
      <c r="AI373" s="363"/>
      <c r="AJ373" s="363"/>
      <c r="AK373" s="1135">
        <v>34</v>
      </c>
      <c r="AL373" s="363"/>
      <c r="AM373" s="363"/>
      <c r="AN373" s="363"/>
      <c r="AO373" s="363"/>
      <c r="AP373" s="1135">
        <v>209</v>
      </c>
      <c r="AQ373" s="363"/>
      <c r="AR373" s="363"/>
      <c r="AS373" s="363"/>
      <c r="AT373" s="363"/>
      <c r="AU373" s="1134"/>
      <c r="AV373" s="363"/>
      <c r="AW373" s="363"/>
      <c r="AX373" s="363"/>
      <c r="AY373" s="363"/>
      <c r="AZ373" s="1134"/>
      <c r="BA373" s="363"/>
      <c r="BB373" s="363"/>
      <c r="BC373" s="363"/>
      <c r="BD373" s="363"/>
      <c r="BE373" s="1134"/>
      <c r="BF373" s="363"/>
      <c r="BG373" s="363"/>
      <c r="BH373" s="773"/>
      <c r="BI373" s="363"/>
      <c r="BJ373" s="1134"/>
      <c r="BK373" s="363"/>
      <c r="BL373" s="363"/>
      <c r="BM373" s="363"/>
      <c r="BN373" s="363"/>
      <c r="BO373" s="1134"/>
      <c r="BP373" s="1134"/>
      <c r="BQ373" s="1134"/>
      <c r="BR373" s="1134"/>
      <c r="BS373" s="32"/>
    </row>
    <row r="374" spans="1:71" s="674" customFormat="1" ht="15" hidden="1" outlineLevel="1">
      <c r="A374" s="37" t="s">
        <v>254</v>
      </c>
      <c r="B374" s="509"/>
      <c r="C374" s="1180">
        <f t="shared" si="926" ref="C374:AK374">SUM(C372:C373)</f>
        <v>498</v>
      </c>
      <c r="D374" s="1180">
        <f t="shared" si="926"/>
        <v>837</v>
      </c>
      <c r="E374" s="1180">
        <f t="shared" si="926"/>
        <v>565</v>
      </c>
      <c r="F374" s="1180">
        <f t="shared" si="926"/>
        <v>392</v>
      </c>
      <c r="G374" s="1180">
        <f t="shared" si="926"/>
        <v>626</v>
      </c>
      <c r="H374" s="287">
        <f t="shared" si="926"/>
        <v>0</v>
      </c>
      <c r="I374" s="287">
        <f t="shared" si="926"/>
        <v>0</v>
      </c>
      <c r="J374" s="287">
        <f t="shared" si="926"/>
        <v>0</v>
      </c>
      <c r="K374" s="287">
        <f t="shared" si="926"/>
        <v>0</v>
      </c>
      <c r="L374" s="1180">
        <f t="shared" si="926"/>
        <v>667</v>
      </c>
      <c r="M374" s="287">
        <f t="shared" si="926"/>
        <v>0</v>
      </c>
      <c r="N374" s="287">
        <f t="shared" si="926"/>
        <v>0</v>
      </c>
      <c r="O374" s="287">
        <f t="shared" si="926"/>
        <v>0</v>
      </c>
      <c r="P374" s="287">
        <f t="shared" si="926"/>
        <v>0</v>
      </c>
      <c r="Q374" s="1180">
        <f t="shared" si="926"/>
        <v>807</v>
      </c>
      <c r="R374" s="287">
        <f t="shared" si="926"/>
        <v>0</v>
      </c>
      <c r="S374" s="287">
        <f t="shared" si="926"/>
        <v>0</v>
      </c>
      <c r="T374" s="287">
        <f t="shared" si="926"/>
        <v>0</v>
      </c>
      <c r="U374" s="287">
        <f t="shared" si="926"/>
        <v>0</v>
      </c>
      <c r="V374" s="1180">
        <f t="shared" si="926"/>
        <v>628</v>
      </c>
      <c r="W374" s="287">
        <f t="shared" si="926"/>
        <v>0</v>
      </c>
      <c r="X374" s="287">
        <f t="shared" si="926"/>
        <v>0</v>
      </c>
      <c r="Y374" s="287">
        <f t="shared" si="926"/>
        <v>0</v>
      </c>
      <c r="Z374" s="287">
        <f t="shared" si="926"/>
        <v>0</v>
      </c>
      <c r="AA374" s="1180">
        <f t="shared" si="926"/>
        <v>770</v>
      </c>
      <c r="AB374" s="287">
        <f t="shared" si="926"/>
        <v>0</v>
      </c>
      <c r="AC374" s="287">
        <f t="shared" si="926"/>
        <v>0</v>
      </c>
      <c r="AD374" s="287">
        <f t="shared" si="926"/>
        <v>0</v>
      </c>
      <c r="AE374" s="287">
        <f t="shared" si="926"/>
        <v>0</v>
      </c>
      <c r="AF374" s="1180">
        <f t="shared" si="926"/>
        <v>1348</v>
      </c>
      <c r="AG374" s="287">
        <f t="shared" si="926"/>
        <v>0</v>
      </c>
      <c r="AH374" s="287">
        <f t="shared" si="926"/>
        <v>0</v>
      </c>
      <c r="AI374" s="287">
        <f t="shared" si="926"/>
        <v>0</v>
      </c>
      <c r="AJ374" s="287">
        <f t="shared" si="926"/>
        <v>0</v>
      </c>
      <c r="AK374" s="1180">
        <f t="shared" si="926"/>
        <v>618</v>
      </c>
      <c r="AL374" s="426"/>
      <c r="AM374" s="426"/>
      <c r="AN374" s="426"/>
      <c r="AO374" s="426"/>
      <c r="AP374" s="1180">
        <f>SUM(AP372:AP373)</f>
        <v>690</v>
      </c>
      <c r="AQ374" s="426"/>
      <c r="AR374" s="426"/>
      <c r="AS374" s="426"/>
      <c r="AT374" s="426"/>
      <c r="AU374" s="1147">
        <f>SUM(AU372:AU373)</f>
        <v>1007</v>
      </c>
      <c r="AV374" s="426"/>
      <c r="AW374" s="426"/>
      <c r="AX374" s="426"/>
      <c r="AY374" s="426"/>
      <c r="AZ374" s="1147">
        <f>SUM(AZ372:AZ373)</f>
        <v>912</v>
      </c>
      <c r="BA374" s="426"/>
      <c r="BB374" s="426"/>
      <c r="BC374" s="426"/>
      <c r="BD374" s="426"/>
      <c r="BE374" s="1147">
        <f>SUM(BE372:BE373)</f>
        <v>1004</v>
      </c>
      <c r="BF374" s="426"/>
      <c r="BG374" s="426"/>
      <c r="BH374" s="487"/>
      <c r="BI374" s="159"/>
      <c r="BJ374" s="1148"/>
      <c r="BK374" s="159"/>
      <c r="BL374" s="159"/>
      <c r="BM374" s="159"/>
      <c r="BN374" s="159"/>
      <c r="BO374" s="1148"/>
      <c r="BP374" s="1147"/>
      <c r="BQ374" s="1147"/>
      <c r="BR374" s="1148"/>
      <c r="BS374" s="37"/>
    </row>
    <row r="375" spans="1:71" s="667" customFormat="1" ht="15" collapsed="1">
      <c r="A375" s="954"/>
      <c r="B375" s="500"/>
      <c r="C375" s="1161"/>
      <c r="D375" s="1161"/>
      <c r="E375" s="1161"/>
      <c r="F375" s="1161"/>
      <c r="G375" s="1161"/>
      <c r="H375" s="971"/>
      <c r="I375" s="971"/>
      <c r="J375" s="971"/>
      <c r="K375" s="971"/>
      <c r="L375" s="1161"/>
      <c r="M375" s="971"/>
      <c r="N375" s="971"/>
      <c r="O375" s="971"/>
      <c r="P375" s="971"/>
      <c r="Q375" s="1161"/>
      <c r="R375" s="971"/>
      <c r="S375" s="971"/>
      <c r="T375" s="971"/>
      <c r="U375" s="971"/>
      <c r="V375" s="1161"/>
      <c r="W375" s="971"/>
      <c r="X375" s="971"/>
      <c r="Y375" s="971"/>
      <c r="Z375" s="971"/>
      <c r="AA375" s="1161"/>
      <c r="AB375" s="971"/>
      <c r="AC375" s="971"/>
      <c r="AD375" s="971"/>
      <c r="AE375" s="971"/>
      <c r="AF375" s="1161"/>
      <c r="AG375" s="971"/>
      <c r="AH375" s="971"/>
      <c r="AI375" s="971"/>
      <c r="AJ375" s="971"/>
      <c r="AK375" s="1161"/>
      <c r="AL375" s="971"/>
      <c r="AM375" s="971"/>
      <c r="AN375" s="971"/>
      <c r="AO375" s="971"/>
      <c r="AP375" s="1161"/>
      <c r="AQ375" s="971"/>
      <c r="AR375" s="971"/>
      <c r="AS375" s="971"/>
      <c r="AT375" s="971"/>
      <c r="AU375" s="1161"/>
      <c r="AV375" s="971"/>
      <c r="AW375" s="971"/>
      <c r="AX375" s="971"/>
      <c r="AY375" s="971"/>
      <c r="AZ375" s="1161"/>
      <c r="BA375" s="971"/>
      <c r="BB375" s="971"/>
      <c r="BC375" s="971"/>
      <c r="BD375" s="971"/>
      <c r="BE375" s="1161"/>
      <c r="BF375" s="971"/>
      <c r="BG375" s="971"/>
      <c r="BH375" s="972"/>
      <c r="BI375" s="973"/>
      <c r="BJ375" s="1162"/>
      <c r="BK375" s="973"/>
      <c r="BL375" s="973"/>
      <c r="BM375" s="973"/>
      <c r="BN375" s="973"/>
      <c r="BO375" s="1162"/>
      <c r="BP375" s="1161"/>
      <c r="BQ375" s="1161"/>
      <c r="BR375" s="1162"/>
      <c r="BS375" s="664"/>
    </row>
    <row r="376" spans="1:71" s="672" customFormat="1" ht="15">
      <c r="A376" s="951" t="s">
        <v>255</v>
      </c>
      <c r="B376" s="951"/>
      <c r="C376" s="967"/>
      <c r="D376" s="967"/>
      <c r="E376" s="967"/>
      <c r="F376" s="967"/>
      <c r="G376" s="967"/>
      <c r="H376" s="967"/>
      <c r="I376" s="967"/>
      <c r="J376" s="967"/>
      <c r="K376" s="967"/>
      <c r="L376" s="967"/>
      <c r="M376" s="967"/>
      <c r="N376" s="967"/>
      <c r="O376" s="967"/>
      <c r="P376" s="967"/>
      <c r="Q376" s="967"/>
      <c r="R376" s="967"/>
      <c r="S376" s="967"/>
      <c r="T376" s="967"/>
      <c r="U376" s="967"/>
      <c r="V376" s="967"/>
      <c r="W376" s="967"/>
      <c r="X376" s="967"/>
      <c r="Y376" s="967"/>
      <c r="Z376" s="967"/>
      <c r="AA376" s="967"/>
      <c r="AB376" s="967"/>
      <c r="AC376" s="967"/>
      <c r="AD376" s="967"/>
      <c r="AE376" s="967"/>
      <c r="AF376" s="967"/>
      <c r="AG376" s="967"/>
      <c r="AH376" s="967"/>
      <c r="AI376" s="967"/>
      <c r="AJ376" s="967"/>
      <c r="AK376" s="967"/>
      <c r="AL376" s="967"/>
      <c r="AM376" s="967"/>
      <c r="AN376" s="967"/>
      <c r="AO376" s="967"/>
      <c r="AP376" s="967"/>
      <c r="AQ376" s="967"/>
      <c r="AR376" s="967"/>
      <c r="AS376" s="967"/>
      <c r="AT376" s="967"/>
      <c r="AU376" s="967"/>
      <c r="AV376" s="967"/>
      <c r="AW376" s="967"/>
      <c r="AX376" s="967"/>
      <c r="AY376" s="967"/>
      <c r="AZ376" s="967"/>
      <c r="BA376" s="967"/>
      <c r="BB376" s="967"/>
      <c r="BC376" s="967"/>
      <c r="BD376" s="967"/>
      <c r="BE376" s="967"/>
      <c r="BF376" s="967"/>
      <c r="BG376" s="967"/>
      <c r="BH376" s="968"/>
      <c r="BI376" s="969"/>
      <c r="BJ376" s="969"/>
      <c r="BK376" s="969"/>
      <c r="BL376" s="969"/>
      <c r="BM376" s="969"/>
      <c r="BN376" s="969"/>
      <c r="BO376" s="969"/>
      <c r="BP376" s="967"/>
      <c r="BQ376" s="967"/>
      <c r="BR376" s="969"/>
      <c r="BS376" s="456"/>
    </row>
    <row r="377" spans="1:71" s="688" customFormat="1" ht="15">
      <c r="A377" s="650" t="str">
        <f>"Stock Price (Reporting Cur.) - "&amp;MO.ValuationToggle&amp;", "&amp;MO.ReportCurrency</f>
        <v>Stock Price (Reporting Cur.) - EoP, USD</v>
      </c>
      <c r="B377" s="1091" t="s">
        <v>597</v>
      </c>
      <c r="C377" s="1247">
        <f t="shared" si="927" ref="C377:AH377">IF(MO.ValuationToggle="EoP",INDEX(MO_VA_StockPrice_TradingCurrency,1,COLUMN())/INDEX(MO_VA_FX_EoP,1,COLUMN()),INDEX(MO_VA_StockPrice_TradingCurrency,1,COLUMN())/INDEX(MO_VA_FX_Average,1,COLUMN()))</f>
        <v>25.24</v>
      </c>
      <c r="D377" s="1247">
        <f t="shared" si="927"/>
        <v>32.380000000000003</v>
      </c>
      <c r="E377" s="1247">
        <f t="shared" si="927"/>
        <v>36.89</v>
      </c>
      <c r="F377" s="1247">
        <f t="shared" si="927"/>
        <v>39.18</v>
      </c>
      <c r="G377" s="1247">
        <f t="shared" si="927"/>
        <v>57.17</v>
      </c>
      <c r="H377" s="452">
        <f t="shared" si="927"/>
        <v>57.02</v>
      </c>
      <c r="I377" s="452">
        <f t="shared" si="927"/>
        <v>59.10</v>
      </c>
      <c r="J377" s="452">
        <f t="shared" si="927"/>
        <v>58.44</v>
      </c>
      <c r="K377" s="452">
        <f t="shared" si="927"/>
        <v>61.39</v>
      </c>
      <c r="L377" s="1247">
        <f t="shared" si="927"/>
        <v>61.39</v>
      </c>
      <c r="M377" s="452">
        <f t="shared" si="927"/>
        <v>64.489999999999995</v>
      </c>
      <c r="N377" s="452">
        <f t="shared" si="927"/>
        <v>64.870000000000005</v>
      </c>
      <c r="O377" s="452">
        <f t="shared" si="927"/>
        <v>68.739999999999995</v>
      </c>
      <c r="P377" s="452">
        <f t="shared" si="927"/>
        <v>73.09</v>
      </c>
      <c r="Q377" s="1247">
        <f t="shared" si="927"/>
        <v>73.09</v>
      </c>
      <c r="R377" s="452">
        <f t="shared" si="927"/>
        <v>71.120000000000005</v>
      </c>
      <c r="S377" s="452">
        <f t="shared" si="927"/>
        <v>72.02</v>
      </c>
      <c r="T377" s="452">
        <f t="shared" si="927"/>
        <v>74.53</v>
      </c>
      <c r="U377" s="452">
        <f t="shared" si="927"/>
        <v>88.12</v>
      </c>
      <c r="V377" s="1247">
        <f t="shared" si="927"/>
        <v>88.12</v>
      </c>
      <c r="W377" s="452">
        <f t="shared" si="927"/>
        <v>95.42</v>
      </c>
      <c r="X377" s="452">
        <f t="shared" si="927"/>
        <v>99.51</v>
      </c>
      <c r="Y377" s="452">
        <f t="shared" si="927"/>
        <v>103.45</v>
      </c>
      <c r="Z377" s="452">
        <f t="shared" si="927"/>
        <v>108.54000000000001</v>
      </c>
      <c r="AA377" s="1247">
        <f t="shared" si="927"/>
        <v>108.54000000000001</v>
      </c>
      <c r="AB377" s="452">
        <f t="shared" si="927"/>
        <v>112.22</v>
      </c>
      <c r="AC377" s="452">
        <f t="shared" si="927"/>
        <v>107.33</v>
      </c>
      <c r="AD377" s="452">
        <f t="shared" si="927"/>
        <v>110.97</v>
      </c>
      <c r="AE377" s="452">
        <f t="shared" si="927"/>
        <v>89.38</v>
      </c>
      <c r="AF377" s="1247">
        <f t="shared" si="927"/>
        <v>89.38</v>
      </c>
      <c r="AG377" s="452">
        <f t="shared" si="927"/>
        <v>96.21</v>
      </c>
      <c r="AH377" s="452">
        <f t="shared" si="927"/>
        <v>102.47</v>
      </c>
      <c r="AI377" s="452">
        <f t="shared" si="928" ref="AI377:BJ377">IF(MO.ValuationToggle="EoP",INDEX(MO_VA_StockPrice_TradingCurrency,1,COLUMN())/INDEX(MO_VA_FX_EoP,1,COLUMN()),INDEX(MO_VA_StockPrice_TradingCurrency,1,COLUMN())/INDEX(MO_VA_FX_Average,1,COLUMN()))</f>
        <v>106.98999999999999</v>
      </c>
      <c r="AJ377" s="452">
        <f t="shared" si="928"/>
        <v>109.45999999999999</v>
      </c>
      <c r="AK377" s="1247">
        <f t="shared" si="928"/>
        <v>109.45999999999999</v>
      </c>
      <c r="AL377" s="452">
        <f t="shared" si="928"/>
        <v>71.56</v>
      </c>
      <c r="AM377" s="452">
        <f t="shared" si="928"/>
        <v>61.34</v>
      </c>
      <c r="AN377" s="452">
        <f t="shared" si="928"/>
        <v>66.150000000000006</v>
      </c>
      <c r="AO377" s="452">
        <f t="shared" si="928"/>
        <v>87.37</v>
      </c>
      <c r="AP377" s="1247">
        <f t="shared" si="928"/>
        <v>87.37</v>
      </c>
      <c r="AQ377" s="452">
        <f t="shared" si="928"/>
        <v>116.39</v>
      </c>
      <c r="AR377" s="452">
        <f t="shared" si="928"/>
        <v>123.33</v>
      </c>
      <c r="AS377" s="452">
        <f t="shared" si="928"/>
        <v>126.98</v>
      </c>
      <c r="AT377" s="452">
        <f t="shared" si="928"/>
        <v>136.83000000000001</v>
      </c>
      <c r="AU377" s="1248">
        <f t="shared" si="928"/>
        <v>136.83000000000001</v>
      </c>
      <c r="AV377" s="452">
        <f t="shared" si="928"/>
        <v>147.72</v>
      </c>
      <c r="AW377" s="452">
        <f t="shared" si="928"/>
        <v>135.91999999999999</v>
      </c>
      <c r="AX377" s="452">
        <f t="shared" si="928"/>
        <v>123.26000000000001</v>
      </c>
      <c r="AY377" s="452">
        <f t="shared" si="928"/>
        <v>137.28</v>
      </c>
      <c r="AZ377" s="1248">
        <f t="shared" si="928"/>
        <v>137.28</v>
      </c>
      <c r="BA377" s="776">
        <f t="shared" si="928"/>
        <v>119.72</v>
      </c>
      <c r="BB377" s="776">
        <f t="shared" si="928"/>
        <v>117.92</v>
      </c>
      <c r="BC377" s="452">
        <f>IF(MO.ValuationToggle="EoP",INDEX(MO_VA_StockPrice_TradingCurrency,1,COLUMN())/INDEX(MO_VA_FX_EoP,1,COLUMN()),INDEX(MO_VA_StockPrice_TradingCurrency,1,COLUMN())/INDEX(MO_VA_FX_Average,1,COLUMN()))</f>
        <v>111.67</v>
      </c>
      <c r="BD377" s="776">
        <f t="shared" si="928"/>
        <v>118.89</v>
      </c>
      <c r="BE377" s="1248">
        <f t="shared" si="928"/>
        <v>118.89</v>
      </c>
      <c r="BF377" s="776">
        <f>IF(MO.ValuationToggle="EoP",INDEX(MO_VA_StockPrice_TradingCurrency,1,COLUMN())/INDEX(MO_VA_FX_EoP,1,COLUMN()),INDEX(MO_VA_StockPrice_TradingCurrency,1,COLUMN())/INDEX(MO_VA_FX_Average,1,COLUMN()))</f>
        <v>136.47999999999999</v>
      </c>
      <c r="BG377" s="776">
        <f>IF(MO.ValuationToggle="EoP",INDEX(MO_VA_StockPrice_TradingCurrency,1,COLUMN())/INDEX(MO_VA_FX_EoP,1,COLUMN()),INDEX(MO_VA_StockPrice_TradingCurrency,1,COLUMN())/INDEX(MO_VA_FX_Average,1,COLUMN()))</f>
        <v>123.02</v>
      </c>
      <c r="BH377" s="945">
        <f>IF(MO.ValuationToggle="EoP",INDEX(MO_VA_StockPrice_TradingCurrency,1,COLUMN())/INDEX(MO_VA_FX_EoP,1,COLUMN()),INDEX(MO_VA_StockPrice_TradingCurrency,1,COLUMN())/INDEX(MO_VA_FX_Average,1,COLUMN()))</f>
        <v>131.31407100000001</v>
      </c>
      <c r="BI377" s="764">
        <f ca="1">IF(MO.ValuationToggle="EoP",INDEX(MO_VA_StockPrice_TradingCurrency,1,COLUMN())/INDEX(MO_VA_FX_EoP,1,COLUMN()),INDEX(MO_VA_StockPrice_TradingCurrency,1,COLUMN())/INDEX(MO_VA_FX_Average,1,COLUMN()))</f>
        <v>142.03</v>
      </c>
      <c r="BJ377" s="1249">
        <f t="shared" ca="1" si="928"/>
        <v>142.03</v>
      </c>
      <c r="BK377" s="764">
        <f ca="1" t="shared" si="929" ref="BK377:BR377">IF(MO.ValuationToggle="EoP",INDEX(MO_VA_StockPrice_TradingCurrency,1,COLUMN())/INDEX(MO_VA_FX_EoP,1,COLUMN()),INDEX(MO_VA_StockPrice_TradingCurrency,1,COLUMN())/INDEX(MO_VA_FX_Average,1,COLUMN()))</f>
        <v>142.03</v>
      </c>
      <c r="BL377" s="764">
        <f t="shared" ca="1" si="929"/>
        <v>142.03</v>
      </c>
      <c r="BM377" s="764">
        <f t="shared" ca="1" si="929"/>
        <v>142.03</v>
      </c>
      <c r="BN377" s="764">
        <f t="shared" ca="1" si="929"/>
        <v>142.03</v>
      </c>
      <c r="BO377" s="1249">
        <f t="shared" ca="1" si="929"/>
        <v>142.03</v>
      </c>
      <c r="BP377" s="1250">
        <f t="shared" ca="1" si="929"/>
        <v>142.03</v>
      </c>
      <c r="BQ377" s="1250">
        <f t="shared" ca="1" si="929"/>
        <v>142.03</v>
      </c>
      <c r="BR377" s="1249">
        <f t="shared" ca="1" si="929"/>
        <v>142.03</v>
      </c>
      <c r="BS377" s="440"/>
    </row>
    <row r="378" spans="1:71" s="667" customFormat="1" ht="15">
      <c r="A378" s="664" t="str">
        <f>"Market Cap - "&amp;MO.ValuationToggle</f>
        <v>Market Cap - EoP</v>
      </c>
      <c r="B378" s="500"/>
      <c r="C378" s="1212">
        <f t="shared" si="930" ref="C378:AH378">INDEX(MO_VA_StockPrice,0,COLUMN())*INDEX(MO_SCA_ShareCount_EoP_Diluted,0,COLUMN())</f>
        <v>2889.6352973199996</v>
      </c>
      <c r="D378" s="1212">
        <f t="shared" si="930"/>
        <v>3447.4456910800004</v>
      </c>
      <c r="E378" s="1212">
        <f t="shared" si="930"/>
        <v>3668.5777697800004</v>
      </c>
      <c r="F378" s="1212">
        <f t="shared" si="930"/>
        <v>3552.8150915400001</v>
      </c>
      <c r="G378" s="1212">
        <f t="shared" si="930"/>
        <v>5226.10327762</v>
      </c>
      <c r="H378" s="983">
        <f t="shared" si="930"/>
        <v>5222.4047229800008</v>
      </c>
      <c r="I378" s="983">
        <f t="shared" si="930"/>
        <v>5414.6494493999999</v>
      </c>
      <c r="J378" s="983">
        <f t="shared" si="930"/>
        <v>5282.4481114800001</v>
      </c>
      <c r="K378" s="983">
        <f t="shared" si="930"/>
        <v>5474.8088822700001</v>
      </c>
      <c r="L378" s="1212">
        <f t="shared" si="930"/>
        <v>5474.8088822700001</v>
      </c>
      <c r="M378" s="983">
        <f t="shared" si="930"/>
        <v>5783.8317603500009</v>
      </c>
      <c r="N378" s="983">
        <f t="shared" si="930"/>
        <v>5795.5125264400003</v>
      </c>
      <c r="O378" s="983">
        <f t="shared" si="930"/>
        <v>6126.6018032799993</v>
      </c>
      <c r="P378" s="983">
        <f t="shared" si="930"/>
        <v>6541.7342166799999</v>
      </c>
      <c r="Q378" s="1212">
        <f t="shared" si="930"/>
        <v>6541.7342166799999</v>
      </c>
      <c r="R378" s="983">
        <f t="shared" si="930"/>
        <v>6298.8345448</v>
      </c>
      <c r="S378" s="983">
        <f t="shared" si="930"/>
        <v>6370.2020571800003</v>
      </c>
      <c r="T378" s="983">
        <f t="shared" si="930"/>
        <v>6589.3948790300001</v>
      </c>
      <c r="U378" s="983">
        <f t="shared" si="930"/>
        <v>7811.6969198799989</v>
      </c>
      <c r="V378" s="1212">
        <f t="shared" si="930"/>
        <v>7811.6969198799989</v>
      </c>
      <c r="W378" s="983">
        <f t="shared" si="930"/>
        <v>8558.3792468200008</v>
      </c>
      <c r="X378" s="983">
        <f t="shared" si="930"/>
        <v>8956.6216465199996</v>
      </c>
      <c r="Y378" s="983">
        <f t="shared" si="930"/>
        <v>9309.7545393</v>
      </c>
      <c r="Z378" s="983">
        <f t="shared" si="930"/>
        <v>9787.644428399999</v>
      </c>
      <c r="AA378" s="1212">
        <f t="shared" si="930"/>
        <v>9787.644428399999</v>
      </c>
      <c r="AB378" s="983">
        <f t="shared" si="930"/>
        <v>10176.245722860001</v>
      </c>
      <c r="AC378" s="983">
        <f t="shared" si="930"/>
        <v>9742.5709956200008</v>
      </c>
      <c r="AD378" s="983">
        <f t="shared" si="930"/>
        <v>10078.262996760001</v>
      </c>
      <c r="AE378" s="983">
        <f t="shared" si="930"/>
        <v>8126.6730711199998</v>
      </c>
      <c r="AF378" s="1212">
        <f t="shared" si="930"/>
        <v>8126.6730711199998</v>
      </c>
      <c r="AG378" s="983">
        <f t="shared" si="930"/>
        <v>8749.1173677299994</v>
      </c>
      <c r="AH378" s="983">
        <f t="shared" si="930"/>
        <v>9347.0675744700002</v>
      </c>
      <c r="AI378" s="983">
        <f t="shared" si="931" ref="AI378:BJ378">INDEX(MO_VA_StockPrice,0,COLUMN())*INDEX(MO_SCA_ShareCount_EoP_Diluted,0,COLUMN())</f>
        <v>9760.4219867699976</v>
      </c>
      <c r="AJ378" s="983">
        <f t="shared" si="931"/>
        <v>10005.047469559999</v>
      </c>
      <c r="AK378" s="1212">
        <f t="shared" si="931"/>
        <v>10005.047469559999</v>
      </c>
      <c r="AL378" s="983">
        <f t="shared" si="931"/>
        <v>6506.7601641600004</v>
      </c>
      <c r="AM378" s="983">
        <f t="shared" si="931"/>
        <v>5456.7700253800003</v>
      </c>
      <c r="AN378" s="983">
        <f t="shared" si="931"/>
        <v>5792.5293993000005</v>
      </c>
      <c r="AO378" s="983">
        <f t="shared" si="931"/>
        <v>7596.4061430200018</v>
      </c>
      <c r="AP378" s="1212">
        <f t="shared" si="931"/>
        <v>7596.4061430200018</v>
      </c>
      <c r="AQ378" s="983">
        <f t="shared" si="931"/>
        <v>9989.2953561799986</v>
      </c>
      <c r="AR378" s="983">
        <f t="shared" si="931"/>
        <v>10523.995559999999</v>
      </c>
      <c r="AS378" s="983">
        <f t="shared" si="931"/>
        <v>10818.061100000001</v>
      </c>
      <c r="AT378" s="983">
        <f t="shared" si="931"/>
        <v>11688.155430000006</v>
      </c>
      <c r="AU378" s="1212">
        <f t="shared" si="931"/>
        <v>11688.155430000006</v>
      </c>
      <c r="AV378" s="983">
        <f t="shared" si="931"/>
        <v>12600.933899879999</v>
      </c>
      <c r="AW378" s="983">
        <f t="shared" si="931"/>
        <v>11601.35142696</v>
      </c>
      <c r="AX378" s="983">
        <f t="shared" si="931"/>
        <v>10519.072618460001</v>
      </c>
      <c r="AY378" s="983">
        <f t="shared" si="931"/>
        <v>11723.712000000003</v>
      </c>
      <c r="AZ378" s="1212">
        <f t="shared" si="931"/>
        <v>11724.261943680003</v>
      </c>
      <c r="BA378" s="971">
        <f t="shared" si="931"/>
        <v>10218.101999999999</v>
      </c>
      <c r="BB378" s="971">
        <f t="shared" si="931"/>
        <v>10018.36528</v>
      </c>
      <c r="BC378" s="983">
        <f>INDEX(MO_VA_StockPrice,0,COLUMN())*INDEX(MO_SCA_ShareCount_EoP_Diluted,0,COLUMN())</f>
        <v>9406.6017357000019</v>
      </c>
      <c r="BD378" s="971">
        <f t="shared" si="931"/>
        <v>9931.5720942299959</v>
      </c>
      <c r="BE378" s="1212">
        <f t="shared" si="931"/>
        <v>9931.5720942299959</v>
      </c>
      <c r="BF378" s="971">
        <f>INDEX(MO_VA_StockPrice,0,COLUMN())*INDEX(MO_SCA_ShareCount_EoP_Diluted,0,COLUMN())</f>
        <v>11458.499673919998</v>
      </c>
      <c r="BG378" s="971">
        <f>INDEX(MO_VA_StockPrice,0,COLUMN())*INDEX(MO_SCA_ShareCount_EoP_Diluted,0,COLUMN())</f>
        <v>10321.04178634</v>
      </c>
      <c r="BH378" s="985">
        <f>INDEX(MO_VA_StockPrice,0,COLUMN())*INDEX(MO_SCA_ShareCount_EoP_Diluted,0,COLUMN())</f>
        <v>11020.329346608667</v>
      </c>
      <c r="BI378" s="973">
        <f ca="1">INDEX(MO_VA_StockPrice,0,COLUMN())*INDEX(MO_SCA_ShareCount_EoP_Diluted,0,COLUMN())</f>
        <v>11931.566682415378</v>
      </c>
      <c r="BJ378" s="1162">
        <f t="shared" ca="1" si="931"/>
        <v>11931.566682415378</v>
      </c>
      <c r="BK378" s="973">
        <f ca="1" t="shared" si="932" ref="BK378:BR378">INDEX(MO_VA_StockPrice,0,COLUMN())*INDEX(MO_SCA_ShareCount_EoP_Diluted,0,COLUMN())</f>
        <v>11931.566682415378</v>
      </c>
      <c r="BL378" s="973">
        <f t="shared" ca="1" si="932"/>
        <v>11931.566682415378</v>
      </c>
      <c r="BM378" s="973">
        <f t="shared" ca="1" si="932"/>
        <v>11931.566682415378</v>
      </c>
      <c r="BN378" s="973">
        <f t="shared" ca="1" si="932"/>
        <v>11931.566682415378</v>
      </c>
      <c r="BO378" s="1162">
        <f t="shared" ca="1" si="932"/>
        <v>11931.566682415378</v>
      </c>
      <c r="BP378" s="1161">
        <f t="shared" ca="1" si="932"/>
        <v>11931.566682415378</v>
      </c>
      <c r="BQ378" s="1161">
        <f t="shared" ca="1" si="932"/>
        <v>11931.566682415378</v>
      </c>
      <c r="BR378" s="1162">
        <f t="shared" ca="1" si="932"/>
        <v>11931.566682415378</v>
      </c>
      <c r="BS378" s="664"/>
    </row>
    <row r="379" spans="1:71" s="689" customFormat="1" ht="15">
      <c r="A379" s="534"/>
      <c r="B379" s="535"/>
      <c r="C379" s="1251"/>
      <c r="D379" s="1251"/>
      <c r="E379" s="1251"/>
      <c r="F379" s="1251"/>
      <c r="G379" s="1251"/>
      <c r="H379" s="536"/>
      <c r="I379" s="536"/>
      <c r="J379" s="536"/>
      <c r="K379" s="536"/>
      <c r="L379" s="1251"/>
      <c r="M379" s="536"/>
      <c r="N379" s="536"/>
      <c r="O379" s="536"/>
      <c r="P379" s="536"/>
      <c r="Q379" s="1251"/>
      <c r="R379" s="536"/>
      <c r="S379" s="537"/>
      <c r="T379" s="536"/>
      <c r="U379" s="536"/>
      <c r="V379" s="1251"/>
      <c r="W379" s="536"/>
      <c r="X379" s="537"/>
      <c r="Y379" s="536"/>
      <c r="Z379" s="536"/>
      <c r="AA379" s="1251"/>
      <c r="AB379" s="536"/>
      <c r="AC379" s="537"/>
      <c r="AD379" s="536"/>
      <c r="AE379" s="536"/>
      <c r="AF379" s="1251"/>
      <c r="AG379" s="536"/>
      <c r="AH379" s="537"/>
      <c r="AI379" s="536"/>
      <c r="AJ379" s="536"/>
      <c r="AK379" s="1251"/>
      <c r="AL379" s="536"/>
      <c r="AM379" s="537"/>
      <c r="AN379" s="536"/>
      <c r="AO379" s="536"/>
      <c r="AP379" s="1251"/>
      <c r="AQ379" s="536"/>
      <c r="AR379" s="537"/>
      <c r="AS379" s="537"/>
      <c r="AT379" s="537"/>
      <c r="AU379" s="1251"/>
      <c r="AV379" s="536"/>
      <c r="AW379" s="537"/>
      <c r="AX379" s="537"/>
      <c r="AY379" s="537"/>
      <c r="AZ379" s="1251"/>
      <c r="BA379" s="537"/>
      <c r="BB379" s="537"/>
      <c r="BC379" s="537"/>
      <c r="BD379" s="537"/>
      <c r="BE379" s="1251"/>
      <c r="BF379" s="537"/>
      <c r="BG379" s="537"/>
      <c r="BH379" s="900"/>
      <c r="BI379" s="538"/>
      <c r="BJ379" s="1252"/>
      <c r="BK379" s="538"/>
      <c r="BL379" s="538"/>
      <c r="BM379" s="538"/>
      <c r="BN379" s="538"/>
      <c r="BO379" s="1252"/>
      <c r="BP379" s="1251"/>
      <c r="BQ379" s="1251"/>
      <c r="BR379" s="1252"/>
      <c r="BS379" s="33"/>
    </row>
    <row r="380" spans="1:71" s="689" customFormat="1" ht="15">
      <c r="A380" s="157" t="str">
        <f>"P/E - "&amp;MO.ValuationToggle</f>
        <v>P/E - EoP</v>
      </c>
      <c r="B380" s="535"/>
      <c r="C380" s="1253">
        <f>C377/C297</f>
        <v>5.6802157996146434</v>
      </c>
      <c r="D380" s="1253">
        <f>D377/D297</f>
        <v>7.4697077244258887</v>
      </c>
      <c r="E380" s="1253">
        <f>E377/E297</f>
        <v>11.099359649122809</v>
      </c>
      <c r="F380" s="1253">
        <f>F377/F297</f>
        <v>7.6995122950819672</v>
      </c>
      <c r="G380" s="1253">
        <f>G377/G297</f>
        <v>11.069859872611465</v>
      </c>
      <c r="H380" s="536"/>
      <c r="I380" s="536"/>
      <c r="J380" s="536"/>
      <c r="K380" s="536"/>
      <c r="L380" s="1253">
        <f>L377/L297</f>
        <v>12.359491150442478</v>
      </c>
      <c r="M380" s="536"/>
      <c r="N380" s="536"/>
      <c r="O380" s="536"/>
      <c r="P380" s="536"/>
      <c r="Q380" s="1253">
        <f>Q377/Q297</f>
        <v>13.444950617283952</v>
      </c>
      <c r="R380" s="536"/>
      <c r="S380" s="537"/>
      <c r="T380" s="536"/>
      <c r="U380" s="536"/>
      <c r="V380" s="1253">
        <f>V377/V297</f>
        <v>14.604157303370787</v>
      </c>
      <c r="W380" s="536"/>
      <c r="X380" s="537"/>
      <c r="Y380" s="536"/>
      <c r="Z380" s="536"/>
      <c r="AA380" s="1253">
        <f>AA377/AA297</f>
        <v>16.576346938775512</v>
      </c>
      <c r="AB380" s="536"/>
      <c r="AC380" s="537"/>
      <c r="AD380" s="536"/>
      <c r="AE380" s="536"/>
      <c r="AF380" s="1253">
        <f>AF377/AF297</f>
        <v>10.641035479632063</v>
      </c>
      <c r="AG380" s="536"/>
      <c r="AH380" s="537"/>
      <c r="AI380" s="536"/>
      <c r="AJ380" s="536"/>
      <c r="AK380" s="1253">
        <f>AK377/AK297</f>
        <v>12.705178571428572</v>
      </c>
      <c r="AL380" s="536"/>
      <c r="AM380" s="537"/>
      <c r="AN380" s="536"/>
      <c r="AO380" s="536"/>
      <c r="AP380" s="1253">
        <f>AP377/AP297</f>
        <v>16.20250311850312</v>
      </c>
      <c r="AQ380" s="536"/>
      <c r="AR380" s="537"/>
      <c r="AS380" s="537"/>
      <c r="AT380" s="537"/>
      <c r="AU380" s="1253">
        <f>AU377/AU297</f>
        <v>11.795214501510575</v>
      </c>
      <c r="AV380" s="536"/>
      <c r="AW380" s="537"/>
      <c r="AX380" s="537"/>
      <c r="AY380" s="537"/>
      <c r="AZ380" s="1253">
        <f>AZ377/AZ297</f>
        <v>11.792531722054381</v>
      </c>
      <c r="BA380" s="537"/>
      <c r="BB380" s="537"/>
      <c r="BC380" s="537"/>
      <c r="BD380" s="537"/>
      <c r="BE380" s="1253">
        <f>BE377/BE297</f>
        <v>11.264661452513966</v>
      </c>
      <c r="BF380" s="537"/>
      <c r="BG380" s="537"/>
      <c r="BH380" s="900"/>
      <c r="BI380" s="538"/>
      <c r="BJ380" s="1252">
        <f ca="1">BJ377/BJ297</f>
        <v>12.978719768915191</v>
      </c>
      <c r="BK380" s="538"/>
      <c r="BL380" s="538"/>
      <c r="BM380" s="538"/>
      <c r="BN380" s="538"/>
      <c r="BO380" s="1252">
        <f ca="1">BO377/BO297</f>
        <v>11.12362909553643</v>
      </c>
      <c r="BP380" s="1251">
        <f ca="1">BP377/BP297</f>
        <v>10.306285420459186</v>
      </c>
      <c r="BQ380" s="1251">
        <f ca="1">BQ377/BQ297</f>
        <v>8.203964078838629</v>
      </c>
      <c r="BR380" s="1252">
        <f ca="1">BR377/BR297</f>
        <v>7.8198065415242501</v>
      </c>
      <c r="BS380" s="33"/>
    </row>
    <row r="381" spans="1:71" s="689" customFormat="1" ht="15">
      <c r="A381" s="157" t="str">
        <f>"P/B - "&amp;MO.ValuationToggle</f>
        <v>P/B - EoP</v>
      </c>
      <c r="B381" s="535"/>
      <c r="C381" s="1251"/>
      <c r="D381" s="1251"/>
      <c r="E381" s="1253">
        <f>E377/E343</f>
        <v>0.85171160670973278</v>
      </c>
      <c r="F381" s="1253">
        <f>F377/F343</f>
        <v>0.77419700575059625</v>
      </c>
      <c r="G381" s="1253">
        <f>G377/G343</f>
        <v>1.1247209493943249</v>
      </c>
      <c r="H381" s="536"/>
      <c r="I381" s="536"/>
      <c r="J381" s="536"/>
      <c r="K381" s="536"/>
      <c r="L381" s="1253">
        <f>L377/L343</f>
        <v>1.103143365600741</v>
      </c>
      <c r="M381" s="536"/>
      <c r="N381" s="536"/>
      <c r="O381" s="536"/>
      <c r="P381" s="536"/>
      <c r="Q381" s="1253">
        <f>Q377/Q343</f>
        <v>1.3923144054326968</v>
      </c>
      <c r="R381" s="536"/>
      <c r="S381" s="537"/>
      <c r="T381" s="536"/>
      <c r="U381" s="536"/>
      <c r="V381" s="1253">
        <f>V377/V343</f>
        <v>1.5581322301879739</v>
      </c>
      <c r="W381" s="536"/>
      <c r="X381" s="537"/>
      <c r="Y381" s="536"/>
      <c r="Z381" s="536"/>
      <c r="AA381" s="1253">
        <f>AA377/AA343</f>
        <v>1.7976394876903017</v>
      </c>
      <c r="AB381" s="536"/>
      <c r="AC381" s="537"/>
      <c r="AD381" s="536"/>
      <c r="AE381" s="536"/>
      <c r="AF381" s="1253">
        <f>AF377/AF343</f>
        <v>1.6058137284102223</v>
      </c>
      <c r="AG381" s="536"/>
      <c r="AH381" s="537"/>
      <c r="AI381" s="536"/>
      <c r="AJ381" s="536"/>
      <c r="AK381" s="1253">
        <f>AK377/AK343</f>
        <v>1.5767493173709721</v>
      </c>
      <c r="AL381" s="536"/>
      <c r="AM381" s="537"/>
      <c r="AN381" s="536"/>
      <c r="AO381" s="536"/>
      <c r="AP381" s="1253">
        <f>AP377/AP343</f>
        <v>1.1112069796160609</v>
      </c>
      <c r="AQ381" s="536"/>
      <c r="AR381" s="537"/>
      <c r="AS381" s="537"/>
      <c r="AT381" s="537"/>
      <c r="AU381" s="1253">
        <f>AU377/AU343</f>
        <v>2.318383978436708</v>
      </c>
      <c r="AV381" s="536"/>
      <c r="AW381" s="537"/>
      <c r="AX381" s="537"/>
      <c r="AY381" s="537"/>
      <c r="AZ381" s="1253">
        <f>AZ377/AZ343</f>
        <v>2.8866747388981882</v>
      </c>
      <c r="BA381" s="537"/>
      <c r="BB381" s="537"/>
      <c r="BC381" s="537"/>
      <c r="BD381" s="537"/>
      <c r="BE381" s="1253">
        <f>BE377/BE343</f>
        <v>2.3352421730004913</v>
      </c>
      <c r="BF381" s="537"/>
      <c r="BG381" s="537"/>
      <c r="BH381" s="900"/>
      <c r="BI381" s="538"/>
      <c r="BJ381" s="1252">
        <f ca="1">BJ377/BJ343</f>
        <v>2.5796330244536243</v>
      </c>
      <c r="BK381" s="538"/>
      <c r="BL381" s="538"/>
      <c r="BM381" s="538"/>
      <c r="BN381" s="538"/>
      <c r="BO381" s="1252">
        <f ca="1">BO377/BO343</f>
        <v>2.1584753744524692</v>
      </c>
      <c r="BP381" s="1251">
        <f ca="1">BP377/BP343</f>
        <v>1.8291778190211749</v>
      </c>
      <c r="BQ381" s="1251">
        <f ca="1">BQ377/BQ343</f>
        <v>1.5257915657426395</v>
      </c>
      <c r="BR381" s="1252">
        <f ca="1">BR377/BR343</f>
        <v>1.298540386845997</v>
      </c>
      <c r="BS381" s="33"/>
    </row>
    <row r="382" spans="1:71" s="689" customFormat="1" ht="15" hidden="1" outlineLevel="1">
      <c r="A382" s="534"/>
      <c r="B382" s="535"/>
      <c r="C382" s="1251"/>
      <c r="D382" s="1251"/>
      <c r="E382" s="1251"/>
      <c r="F382" s="1251"/>
      <c r="G382" s="1251"/>
      <c r="H382" s="536"/>
      <c r="I382" s="536"/>
      <c r="J382" s="536"/>
      <c r="K382" s="536"/>
      <c r="L382" s="1251"/>
      <c r="M382" s="536"/>
      <c r="N382" s="536"/>
      <c r="O382" s="536"/>
      <c r="P382" s="536"/>
      <c r="Q382" s="1251"/>
      <c r="R382" s="536"/>
      <c r="S382" s="537"/>
      <c r="T382" s="536"/>
      <c r="U382" s="536"/>
      <c r="V382" s="1251"/>
      <c r="W382" s="536"/>
      <c r="X382" s="537"/>
      <c r="Y382" s="536"/>
      <c r="Z382" s="536"/>
      <c r="AA382" s="1251"/>
      <c r="AB382" s="536"/>
      <c r="AC382" s="537"/>
      <c r="AD382" s="536"/>
      <c r="AE382" s="536"/>
      <c r="AF382" s="1251"/>
      <c r="AG382" s="536"/>
      <c r="AH382" s="537"/>
      <c r="AI382" s="536"/>
      <c r="AJ382" s="536"/>
      <c r="AK382" s="1251"/>
      <c r="AL382" s="536"/>
      <c r="AM382" s="537"/>
      <c r="AN382" s="536"/>
      <c r="AO382" s="536"/>
      <c r="AP382" s="1251"/>
      <c r="AQ382" s="536"/>
      <c r="AR382" s="537"/>
      <c r="AS382" s="537"/>
      <c r="AT382" s="537"/>
      <c r="AU382" s="1251"/>
      <c r="AV382" s="536"/>
      <c r="AW382" s="537"/>
      <c r="AX382" s="537"/>
      <c r="AY382" s="537"/>
      <c r="AZ382" s="1251"/>
      <c r="BA382" s="537"/>
      <c r="BB382" s="537"/>
      <c r="BC382" s="537"/>
      <c r="BD382" s="537"/>
      <c r="BE382" s="1251"/>
      <c r="BF382" s="537"/>
      <c r="BG382" s="537"/>
      <c r="BH382" s="900"/>
      <c r="BI382" s="538"/>
      <c r="BJ382" s="1252"/>
      <c r="BK382" s="538"/>
      <c r="BL382" s="538"/>
      <c r="BM382" s="538"/>
      <c r="BN382" s="538"/>
      <c r="BO382" s="1252"/>
      <c r="BP382" s="1251"/>
      <c r="BQ382" s="1251"/>
      <c r="BR382" s="1252"/>
      <c r="BS382" s="33"/>
    </row>
    <row r="383" spans="1:71" s="690" customFormat="1" ht="15" hidden="1" outlineLevel="1">
      <c r="A383" s="263" t="str">
        <f ca="1">"Stock High, "&amp;HP.TradeCurrency</f>
        <v>Stock High, USD</v>
      </c>
      <c r="B383" s="539"/>
      <c r="C383" s="1254">
        <f ca="1" t="shared" si="933" ref="C383:AU383">IF(INDEX(MO_SNA_IsHistoricalPeriod,1,COLUMN())=FALSE,0,INDEX(MO_SPT_StockHigh,1,COLUMN()))</f>
        <v>26.63</v>
      </c>
      <c r="D383" s="1254">
        <f t="shared" ca="1" si="933"/>
        <v>32.75</v>
      </c>
      <c r="E383" s="1254">
        <f t="shared" ca="1" si="933"/>
        <v>37.50</v>
      </c>
      <c r="F383" s="1254">
        <f t="shared" ca="1" si="933"/>
        <v>40.54</v>
      </c>
      <c r="G383" s="1254">
        <f t="shared" ca="1" si="933"/>
        <v>58.44</v>
      </c>
      <c r="H383" s="320">
        <f t="shared" ca="1" si="933"/>
        <v>58.26</v>
      </c>
      <c r="I383" s="320">
        <f t="shared" ca="1" si="933"/>
        <v>60</v>
      </c>
      <c r="J383" s="320">
        <f t="shared" ca="1" si="933"/>
        <v>60.64</v>
      </c>
      <c r="K383" s="320">
        <f t="shared" ca="1" si="933"/>
        <v>62.55</v>
      </c>
      <c r="L383" s="1254">
        <f t="shared" ca="1" si="933"/>
        <v>62.55</v>
      </c>
      <c r="M383" s="320">
        <f t="shared" ca="1" si="933"/>
        <v>65.510000000000005</v>
      </c>
      <c r="N383" s="320">
        <f t="shared" ca="1" si="933"/>
        <v>66.72</v>
      </c>
      <c r="O383" s="320">
        <f t="shared" ca="1" si="933"/>
        <v>73.650000000000006</v>
      </c>
      <c r="P383" s="320">
        <f t="shared" ca="1" si="933"/>
        <v>75.680000000000007</v>
      </c>
      <c r="Q383" s="1254">
        <f t="shared" ca="1" si="933"/>
        <v>75.680000000000007</v>
      </c>
      <c r="R383" s="320">
        <f t="shared" ca="1" si="933"/>
        <v>71.66</v>
      </c>
      <c r="S383" s="320">
        <f t="shared" ca="1" si="933"/>
        <v>73.95</v>
      </c>
      <c r="T383" s="320">
        <f t="shared" ca="1" si="933"/>
        <v>76.03</v>
      </c>
      <c r="U383" s="320">
        <f t="shared" ca="1" si="933"/>
        <v>88.54</v>
      </c>
      <c r="V383" s="1254">
        <f t="shared" ca="1" si="933"/>
        <v>88.54</v>
      </c>
      <c r="W383" s="320">
        <f t="shared" ca="1" si="933"/>
        <v>97</v>
      </c>
      <c r="X383" s="320">
        <f t="shared" ca="1" si="933"/>
        <v>103.19</v>
      </c>
      <c r="Y383" s="320">
        <f t="shared" ca="1" si="933"/>
        <v>105.58</v>
      </c>
      <c r="Z383" s="320">
        <f t="shared" ca="1" si="933"/>
        <v>109.41</v>
      </c>
      <c r="AA383" s="1254">
        <f t="shared" ca="1" si="933"/>
        <v>109.41</v>
      </c>
      <c r="AB383" s="320">
        <f t="shared" ca="1" si="933"/>
        <v>115.4453</v>
      </c>
      <c r="AC383" s="320">
        <f t="shared" ca="1" si="933"/>
        <v>110.3028</v>
      </c>
      <c r="AD383" s="320">
        <f t="shared" ca="1" si="933"/>
        <v>111.7474</v>
      </c>
      <c r="AE383" s="320">
        <f t="shared" ca="1" si="933"/>
        <v>109.51909999999999</v>
      </c>
      <c r="AF383" s="1254">
        <f t="shared" ca="1" si="933"/>
        <v>115.4453</v>
      </c>
      <c r="AG383" s="320">
        <f t="shared" ca="1" si="933"/>
        <v>99.85</v>
      </c>
      <c r="AH383" s="320">
        <f t="shared" ca="1" si="933"/>
        <v>104.43000000000001</v>
      </c>
      <c r="AI383" s="320">
        <f t="shared" ca="1" si="933"/>
        <v>109.25</v>
      </c>
      <c r="AJ383" s="320">
        <f t="shared" ca="1" si="933"/>
        <v>111.58</v>
      </c>
      <c r="AK383" s="1254">
        <f t="shared" ca="1" si="933"/>
        <v>111.58</v>
      </c>
      <c r="AL383" s="320">
        <f ca="1" t="shared" si="934" ref="AL383:AQ383">IF(INDEX(MO_SNA_IsHistoricalPeriod,1,COLUMN())=FALSE,0,INDEX(MO_SPT_StockHigh,1,COLUMN()))</f>
        <v>114.53</v>
      </c>
      <c r="AM383" s="320">
        <f t="shared" ca="1" si="934"/>
        <v>80.489999999999995</v>
      </c>
      <c r="AN383" s="320">
        <f t="shared" ca="1" si="934"/>
        <v>69.629999999999995</v>
      </c>
      <c r="AO383" s="320">
        <f t="shared" ca="1" si="934"/>
        <v>94.76</v>
      </c>
      <c r="AP383" s="1254">
        <f t="shared" ca="1" si="934"/>
        <v>114.53</v>
      </c>
      <c r="AQ383" s="320">
        <f t="shared" ca="1" si="934"/>
        <v>118.50</v>
      </c>
      <c r="AR383" s="320">
        <f t="shared" ca="1" si="933"/>
        <v>140.28999999999999</v>
      </c>
      <c r="AS383" s="320">
        <f t="shared" ca="1" si="933"/>
        <v>138.61000000000001</v>
      </c>
      <c r="AT383" s="320">
        <f t="shared" ca="1" si="933"/>
        <v>145.68000000000001</v>
      </c>
      <c r="AU383" s="1255">
        <f t="shared" ca="1" si="933"/>
        <v>145.68000000000001</v>
      </c>
      <c r="AV383" s="320">
        <f ca="1">IF(INDEX(MO_SNA_IsHistoricalPeriod,1,COLUMN())=FALSE,0,INDEX(MO_SPT_StockHigh,1,COLUMN()))</f>
        <v>150.22</v>
      </c>
      <c r="AW383" s="320">
        <f ca="1">IF(INDEX(MO_SNA_IsHistoricalPeriod,1,COLUMN())=FALSE,0,INDEX(MO_SPT_StockHigh,1,COLUMN()))</f>
        <v>149.09999999999999</v>
      </c>
      <c r="AX383" s="320">
        <f ca="1">IF(INDEX(MO_SNA_IsHistoricalPeriod,1,COLUMN())=FALSE,0,INDEX(MO_SPT_StockHigh,1,COLUMN()))</f>
        <v>142.59999999999999</v>
      </c>
      <c r="AY383" s="320">
        <f ca="1">IF(INDEX(MO_SNA_IsHistoricalPeriod,1,COLUMN())=FALSE,0,INDEX(MO_SPT_StockHigh,1,COLUMN()))</f>
        <v>148.66</v>
      </c>
      <c r="AZ383" s="1255">
        <f ca="1">IF(INDEX(MO_SNA_IsHistoricalPeriod,1,COLUMN())=FALSE,0,INDEX(MO_SPT_StockHigh,1,COLUMN()))</f>
        <v>150.22</v>
      </c>
      <c r="BA383" s="777">
        <f ca="1" t="shared" si="935" ref="BA383:BJ383">IF(INDEX(MO_SNA_IsHistoricalPeriod,1,COLUMN())=FALSE,0,INDEX(MO_SPT_StockHigh,1,COLUMN()))</f>
        <v>143.12</v>
      </c>
      <c r="BB383" s="777">
        <f t="shared" ca="1" si="935"/>
        <v>123.91</v>
      </c>
      <c r="BC383" s="320">
        <f ca="1">IF(INDEX(MO_SNA_IsHistoricalPeriod,1,COLUMN())=FALSE,0,INDEX(MO_SPT_StockHigh,1,COLUMN()))</f>
        <v>122.75</v>
      </c>
      <c r="BD383" s="777">
        <f t="shared" ca="1" si="935"/>
        <v>121.90000000000001</v>
      </c>
      <c r="BE383" s="1255">
        <f t="shared" ca="1" si="935"/>
        <v>143.12</v>
      </c>
      <c r="BF383" s="777">
        <f ca="1">IF(INDEX(MO_SNA_IsHistoricalPeriod,1,COLUMN())=FALSE,0,INDEX(MO_SPT_StockHigh,1,COLUMN()))</f>
        <v>136.80000000000001</v>
      </c>
      <c r="BG383" s="777">
        <f ca="1">IF(INDEX(MO_SNA_IsHistoricalPeriod,1,COLUMN())=FALSE,0,INDEX(MO_SPT_StockHigh,1,COLUMN()))</f>
        <v>135.33000000000001</v>
      </c>
      <c r="BH383" s="946">
        <f ca="1">IF(INDEX(MO_SNA_IsHistoricalPeriod,1,COLUMN())=FALSE,0,INDEX(MO_SPT_StockHigh,1,COLUMN()))</f>
        <v>133.17027200000001</v>
      </c>
      <c r="BI383" s="765">
        <f>IF(INDEX(MO_SNA_IsHistoricalPeriod,1,COLUMN())=FALSE,0,INDEX(MO_SPT_StockHigh,1,COLUMN()))</f>
        <v>0</v>
      </c>
      <c r="BJ383" s="1256">
        <f t="shared" si="935"/>
        <v>0</v>
      </c>
      <c r="BK383" s="765">
        <f t="shared" si="936" ref="BK383:BR383">IF(INDEX(MO_SNA_IsHistoricalPeriod,1,COLUMN())=FALSE,0,INDEX(MO_SPT_StockHigh,1,COLUMN()))</f>
        <v>0</v>
      </c>
      <c r="BL383" s="765">
        <f t="shared" si="936"/>
        <v>0</v>
      </c>
      <c r="BM383" s="765">
        <f t="shared" si="936"/>
        <v>0</v>
      </c>
      <c r="BN383" s="765">
        <f t="shared" si="936"/>
        <v>0</v>
      </c>
      <c r="BO383" s="1256">
        <f t="shared" si="936"/>
        <v>0</v>
      </c>
      <c r="BP383" s="1257">
        <f t="shared" si="936"/>
        <v>0</v>
      </c>
      <c r="BQ383" s="1257">
        <f t="shared" si="936"/>
        <v>0</v>
      </c>
      <c r="BR383" s="1256">
        <f t="shared" si="936"/>
        <v>0</v>
      </c>
      <c r="BS383" s="237"/>
    </row>
    <row r="384" spans="1:71" s="690" customFormat="1" ht="15" hidden="1" outlineLevel="1">
      <c r="A384" s="263" t="str">
        <f ca="1">"Stock Low, "&amp;HP.TradeCurrency</f>
        <v>Stock Low, USD</v>
      </c>
      <c r="B384" s="539"/>
      <c r="C384" s="1254">
        <f ca="1" t="shared" si="937" ref="C384:AU384">IF(INDEX(MO_SNA_IsHistoricalPeriod,1,COLUMN())=FALSE,0,INDEX(MO_SPT_StockLow,1,COLUMN()))</f>
        <v>12.77</v>
      </c>
      <c r="D384" s="1254">
        <f t="shared" ca="1" si="937"/>
        <v>23.90</v>
      </c>
      <c r="E384" s="1254">
        <f t="shared" ca="1" si="937"/>
        <v>29.45</v>
      </c>
      <c r="F384" s="1254">
        <f t="shared" ca="1" si="937"/>
        <v>36.24</v>
      </c>
      <c r="G384" s="1254">
        <f t="shared" ca="1" si="937"/>
        <v>39.76</v>
      </c>
      <c r="H384" s="320">
        <f t="shared" ca="1" si="937"/>
        <v>52.89</v>
      </c>
      <c r="I384" s="320">
        <f t="shared" ca="1" si="937"/>
        <v>55.49</v>
      </c>
      <c r="J384" s="320">
        <f t="shared" ca="1" si="937"/>
        <v>55.57</v>
      </c>
      <c r="K384" s="320">
        <f t="shared" ca="1" si="937"/>
        <v>54.63</v>
      </c>
      <c r="L384" s="1254">
        <f t="shared" ca="1" si="937"/>
        <v>52.89</v>
      </c>
      <c r="M384" s="320">
        <f t="shared" ca="1" si="937"/>
        <v>57.50</v>
      </c>
      <c r="N384" s="320">
        <f t="shared" ca="1" si="937"/>
        <v>62.98</v>
      </c>
      <c r="O384" s="320">
        <f t="shared" ca="1" si="937"/>
        <v>65.430000000000007</v>
      </c>
      <c r="P384" s="320">
        <f t="shared" ca="1" si="937"/>
        <v>67.39</v>
      </c>
      <c r="Q384" s="1254">
        <f t="shared" ca="1" si="937"/>
        <v>57.50</v>
      </c>
      <c r="R384" s="320">
        <f t="shared" ca="1" si="937"/>
        <v>64.870000000000005</v>
      </c>
      <c r="S384" s="320">
        <f t="shared" ca="1" si="937"/>
        <v>66.78</v>
      </c>
      <c r="T384" s="320">
        <f t="shared" ca="1" si="937"/>
        <v>70.819999999999993</v>
      </c>
      <c r="U384" s="320">
        <f t="shared" ca="1" si="937"/>
        <v>73.379999999999995</v>
      </c>
      <c r="V384" s="1254">
        <f t="shared" ca="1" si="937"/>
        <v>64.870000000000005</v>
      </c>
      <c r="W384" s="320">
        <f t="shared" ca="1" si="937"/>
        <v>85.57</v>
      </c>
      <c r="X384" s="320">
        <f t="shared" ca="1" si="937"/>
        <v>93.25</v>
      </c>
      <c r="Y384" s="320">
        <f t="shared" ca="1" si="937"/>
        <v>95.19</v>
      </c>
      <c r="Z384" s="320">
        <f t="shared" ca="1" si="937"/>
        <v>101.02</v>
      </c>
      <c r="AA384" s="1254">
        <f t="shared" ca="1" si="937"/>
        <v>85.57</v>
      </c>
      <c r="AB384" s="320">
        <f t="shared" ca="1" si="937"/>
        <v>101.63500000000001</v>
      </c>
      <c r="AC384" s="320">
        <f t="shared" ca="1" si="937"/>
        <v>103.08159999999999</v>
      </c>
      <c r="AD384" s="320">
        <f t="shared" ca="1" si="937"/>
        <v>102.9354</v>
      </c>
      <c r="AE384" s="320">
        <f t="shared" ca="1" si="937"/>
        <v>84.914699999999996</v>
      </c>
      <c r="AF384" s="1254">
        <f t="shared" ca="1" si="937"/>
        <v>84.914699999999996</v>
      </c>
      <c r="AG384" s="320">
        <f t="shared" ca="1" si="937"/>
        <v>89.10</v>
      </c>
      <c r="AH384" s="320">
        <f t="shared" ca="1" si="937"/>
        <v>95.88</v>
      </c>
      <c r="AI384" s="320">
        <f t="shared" ca="1" si="937"/>
        <v>97.88</v>
      </c>
      <c r="AJ384" s="320">
        <f t="shared" ca="1" si="937"/>
        <v>100.52</v>
      </c>
      <c r="AK384" s="1254">
        <f t="shared" ca="1" si="937"/>
        <v>89.10</v>
      </c>
      <c r="AL384" s="320">
        <f ca="1" t="shared" si="938" ref="AL384:AQ384">IF(INDEX(MO_SNA_IsHistoricalPeriod,1,COLUMN())=FALSE,0,INDEX(MO_SPT_StockLow,1,COLUMN()))</f>
        <v>46.98</v>
      </c>
      <c r="AM384" s="320">
        <f t="shared" ca="1" si="938"/>
        <v>54.44</v>
      </c>
      <c r="AN384" s="320">
        <f t="shared" ca="1" si="938"/>
        <v>56.83</v>
      </c>
      <c r="AO384" s="320">
        <f t="shared" ca="1" si="938"/>
        <v>68.95</v>
      </c>
      <c r="AP384" s="1254">
        <f t="shared" ca="1" si="938"/>
        <v>46.98</v>
      </c>
      <c r="AQ384" s="320">
        <f t="shared" ca="1" si="938"/>
        <v>79.44</v>
      </c>
      <c r="AR384" s="320">
        <f t="shared" ca="1" si="937"/>
        <v>113.94</v>
      </c>
      <c r="AS384" s="320">
        <f t="shared" ca="1" si="937"/>
        <v>120</v>
      </c>
      <c r="AT384" s="320">
        <f t="shared" ca="1" si="937"/>
        <v>127.47</v>
      </c>
      <c r="AU384" s="1255">
        <f t="shared" ca="1" si="937"/>
        <v>79.44</v>
      </c>
      <c r="AV384" s="320">
        <f ca="1">IF(INDEX(MO_SNA_IsHistoricalPeriod,1,COLUMN())=FALSE,0,INDEX(MO_SPT_StockLow,1,COLUMN()))</f>
        <v>125.45999999999999</v>
      </c>
      <c r="AW384" s="320">
        <f ca="1">IF(INDEX(MO_SNA_IsHistoricalPeriod,1,COLUMN())=FALSE,0,INDEX(MO_SPT_StockLow,1,COLUMN()))</f>
        <v>129.47</v>
      </c>
      <c r="AX384" s="320">
        <f ca="1">IF(INDEX(MO_SNA_IsHistoricalPeriod,1,COLUMN())=FALSE,0,INDEX(MO_SPT_StockLow,1,COLUMN()))</f>
        <v>120.06</v>
      </c>
      <c r="AY384" s="320">
        <f ca="1">IF(INDEX(MO_SNA_IsHistoricalPeriod,1,COLUMN())=FALSE,0,INDEX(MO_SPT_StockLow,1,COLUMN()))</f>
        <v>125.12</v>
      </c>
      <c r="AZ384" s="1255">
        <f ca="1">IF(INDEX(MO_SNA_IsHistoricalPeriod,1,COLUMN())=FALSE,0,INDEX(MO_SPT_StockLow,1,COLUMN()))</f>
        <v>120.06</v>
      </c>
      <c r="BA384" s="777">
        <f ca="1" t="shared" si="939" ref="BA384:BJ384">IF(INDEX(MO_SNA_IsHistoricalPeriod,1,COLUMN())=FALSE,0,INDEX(MO_SPT_StockLow,1,COLUMN()))</f>
        <v>115.95999999999999</v>
      </c>
      <c r="BB384" s="777">
        <f t="shared" ca="1" si="939"/>
        <v>112.27</v>
      </c>
      <c r="BC384" s="320">
        <f ca="1">IF(INDEX(MO_SNA_IsHistoricalPeriod,1,COLUMN())=FALSE,0,INDEX(MO_SPT_StockLow,1,COLUMN()))</f>
        <v>108.81</v>
      </c>
      <c r="BD384" s="777">
        <f t="shared" ca="1" si="939"/>
        <v>106.09</v>
      </c>
      <c r="BE384" s="1255">
        <f t="shared" ca="1" si="939"/>
        <v>106.09</v>
      </c>
      <c r="BF384" s="777">
        <f ca="1">IF(INDEX(MO_SNA_IsHistoricalPeriod,1,COLUMN())=FALSE,0,INDEX(MO_SPT_StockLow,1,COLUMN()))</f>
        <v>114.347449</v>
      </c>
      <c r="BG384" s="777">
        <f ca="1">IF(INDEX(MO_SNA_IsHistoricalPeriod,1,COLUMN())=FALSE,0,INDEX(MO_SPT_StockLow,1,COLUMN()))</f>
        <v>123.02</v>
      </c>
      <c r="BH384" s="946">
        <f ca="1">IF(INDEX(MO_SNA_IsHistoricalPeriod,1,COLUMN())=FALSE,0,INDEX(MO_SPT_StockLow,1,COLUMN()))</f>
        <v>116.279815</v>
      </c>
      <c r="BI384" s="765">
        <f>IF(INDEX(MO_SNA_IsHistoricalPeriod,1,COLUMN())=FALSE,0,INDEX(MO_SPT_StockLow,1,COLUMN()))</f>
        <v>0</v>
      </c>
      <c r="BJ384" s="1256">
        <f t="shared" si="939"/>
        <v>0</v>
      </c>
      <c r="BK384" s="765">
        <f t="shared" si="940" ref="BK384:BR384">IF(INDEX(MO_SNA_IsHistoricalPeriod,1,COLUMN())=FALSE,0,INDEX(MO_SPT_StockLow,1,COLUMN()))</f>
        <v>0</v>
      </c>
      <c r="BL384" s="765">
        <f t="shared" si="940"/>
        <v>0</v>
      </c>
      <c r="BM384" s="765">
        <f t="shared" si="940"/>
        <v>0</v>
      </c>
      <c r="BN384" s="765">
        <f t="shared" si="940"/>
        <v>0</v>
      </c>
      <c r="BO384" s="1256">
        <f t="shared" si="940"/>
        <v>0</v>
      </c>
      <c r="BP384" s="1257">
        <f t="shared" si="940"/>
        <v>0</v>
      </c>
      <c r="BQ384" s="1257">
        <f t="shared" si="940"/>
        <v>0</v>
      </c>
      <c r="BR384" s="1256">
        <f t="shared" si="940"/>
        <v>0</v>
      </c>
      <c r="BS384" s="237"/>
    </row>
    <row r="385" spans="1:71" s="690" customFormat="1" ht="15" hidden="1" outlineLevel="1">
      <c r="A385" s="263" t="str">
        <f ca="1">"Stock Average, "&amp;HP.TradeCurrency</f>
        <v>Stock Average, USD</v>
      </c>
      <c r="B385" s="539"/>
      <c r="C385" s="1254">
        <f ca="1" t="shared" si="941" ref="C385:AU385">IF(INDEX(MO_SNA_IsHistoricalPeriod,1,COLUMN())=FALSE,0,INDEX(MO_SPT_StockAverage,1,COLUMN()))</f>
        <v>19.70</v>
      </c>
      <c r="D385" s="1254">
        <f t="shared" ca="1" si="941"/>
        <v>28.325</v>
      </c>
      <c r="E385" s="1254">
        <f t="shared" ca="1" si="941"/>
        <v>33.475</v>
      </c>
      <c r="F385" s="1254">
        <f t="shared" ca="1" si="941"/>
        <v>38.39</v>
      </c>
      <c r="G385" s="1254">
        <f t="shared" ca="1" si="941"/>
        <v>49.10</v>
      </c>
      <c r="H385" s="320">
        <f t="shared" ca="1" si="941"/>
        <v>55.575</v>
      </c>
      <c r="I385" s="320">
        <f t="shared" ca="1" si="941"/>
        <v>57.745</v>
      </c>
      <c r="J385" s="320">
        <f t="shared" ca="1" si="941"/>
        <v>58.105</v>
      </c>
      <c r="K385" s="320">
        <f t="shared" ca="1" si="941"/>
        <v>58.59</v>
      </c>
      <c r="L385" s="1254">
        <f t="shared" ca="1" si="941"/>
        <v>57.50375</v>
      </c>
      <c r="M385" s="320">
        <f t="shared" ca="1" si="941"/>
        <v>61.505</v>
      </c>
      <c r="N385" s="320">
        <f t="shared" ca="1" si="941"/>
        <v>64.849999999999994</v>
      </c>
      <c r="O385" s="320">
        <f t="shared" ca="1" si="941"/>
        <v>69.540000000000006</v>
      </c>
      <c r="P385" s="320">
        <f t="shared" ca="1" si="941"/>
        <v>71.535</v>
      </c>
      <c r="Q385" s="1254">
        <f t="shared" ca="1" si="941"/>
        <v>66.8575</v>
      </c>
      <c r="R385" s="320">
        <f t="shared" ca="1" si="941"/>
        <v>68.265</v>
      </c>
      <c r="S385" s="320">
        <f t="shared" ca="1" si="941"/>
        <v>70.364999999999995</v>
      </c>
      <c r="T385" s="320">
        <f t="shared" ca="1" si="941"/>
        <v>73.425</v>
      </c>
      <c r="U385" s="320">
        <f t="shared" ca="1" si="941"/>
        <v>80.959999999999994</v>
      </c>
      <c r="V385" s="1254">
        <f t="shared" ca="1" si="941"/>
        <v>73.25375</v>
      </c>
      <c r="W385" s="320">
        <f t="shared" ca="1" si="941"/>
        <v>91.285</v>
      </c>
      <c r="X385" s="320">
        <f t="shared" ca="1" si="941"/>
        <v>98.22</v>
      </c>
      <c r="Y385" s="320">
        <f t="shared" ca="1" si="941"/>
        <v>100.38500000000001</v>
      </c>
      <c r="Z385" s="320">
        <f t="shared" ca="1" si="941"/>
        <v>105.215</v>
      </c>
      <c r="AA385" s="1254">
        <f t="shared" ca="1" si="941"/>
        <v>98.77625</v>
      </c>
      <c r="AB385" s="320">
        <f t="shared" ca="1" si="941"/>
        <v>107.082101639344</v>
      </c>
      <c r="AC385" s="320">
        <f t="shared" ca="1" si="941"/>
        <v>107.1839859375</v>
      </c>
      <c r="AD385" s="320">
        <f t="shared" ca="1" si="941"/>
        <v>108.702717460317</v>
      </c>
      <c r="AE385" s="320">
        <f t="shared" ca="1" si="941"/>
        <v>99.018801587301596</v>
      </c>
      <c r="AF385" s="1254">
        <f t="shared" ca="1" si="941"/>
        <v>105.49099203187301</v>
      </c>
      <c r="AG385" s="320">
        <f t="shared" ca="1" si="941"/>
        <v>95.755737704918005</v>
      </c>
      <c r="AH385" s="320">
        <f t="shared" ca="1" si="941"/>
        <v>100.563968253968</v>
      </c>
      <c r="AI385" s="320">
        <f t="shared" ca="1" si="941"/>
        <v>103.520625</v>
      </c>
      <c r="AJ385" s="320">
        <f t="shared" ca="1" si="941"/>
        <v>107.00390625</v>
      </c>
      <c r="AK385" s="1254">
        <f t="shared" ca="1" si="941"/>
        <v>101.786507936508</v>
      </c>
      <c r="AL385" s="320">
        <f ca="1" t="shared" si="942" ref="AL385:AQ385">IF(INDEX(MO_SNA_IsHistoricalPeriod,1,COLUMN())=FALSE,0,INDEX(MO_SPT_StockAverage,1,COLUMN()))</f>
        <v>96.511612903225796</v>
      </c>
      <c r="AM385" s="320">
        <f t="shared" ca="1" si="942"/>
        <v>64.441111111111098</v>
      </c>
      <c r="AN385" s="320">
        <f t="shared" ca="1" si="942"/>
        <v>64.40703125</v>
      </c>
      <c r="AO385" s="320">
        <f t="shared" ca="1" si="942"/>
        <v>81.998906250000005</v>
      </c>
      <c r="AP385" s="1254">
        <f t="shared" ca="1" si="942"/>
        <v>76.733162055335896</v>
      </c>
      <c r="AQ385" s="320">
        <f t="shared" ca="1" si="942"/>
        <v>103.331639344262</v>
      </c>
      <c r="AR385" s="320">
        <f t="shared" ca="1" si="941"/>
        <v>124.97190476190499</v>
      </c>
      <c r="AS385" s="320">
        <f t="shared" ca="1" si="941"/>
        <v>130.59468749999999</v>
      </c>
      <c r="AT385" s="320">
        <f t="shared" ca="1" si="941"/>
        <v>137.48546875</v>
      </c>
      <c r="AU385" s="1255">
        <f t="shared" ca="1" si="941"/>
        <v>124.33964285714301</v>
      </c>
      <c r="AV385" s="320">
        <f ca="1">IF(INDEX(MO_SNA_IsHistoricalPeriod,1,COLUMN())=FALSE,0,INDEX(MO_SPT_StockAverage,1,COLUMN()))</f>
        <v>136.392258064516</v>
      </c>
      <c r="AW385" s="320">
        <f ca="1">IF(INDEX(MO_SNA_IsHistoricalPeriod,1,COLUMN())=FALSE,0,INDEX(MO_SPT_StockAverage,1,COLUMN()))</f>
        <v>140.626451612903</v>
      </c>
      <c r="AX385" s="320">
        <f ca="1">IF(INDEX(MO_SNA_IsHistoricalPeriod,1,COLUMN())=FALSE,0,INDEX(MO_SPT_StockAverage,1,COLUMN()))</f>
        <v>131.2134375</v>
      </c>
      <c r="AY385" s="320">
        <f ca="1">IF(INDEX(MO_SNA_IsHistoricalPeriod,1,COLUMN())=FALSE,0,INDEX(MO_SPT_StockAverage,1,COLUMN()))</f>
        <v>137.05460317460299</v>
      </c>
      <c r="AZ385" s="1255">
        <f ca="1">IF(INDEX(MO_SNA_IsHistoricalPeriod,1,COLUMN())=FALSE,0,INDEX(MO_SPT_StockAverage,1,COLUMN()))</f>
        <v>136.28390438247001</v>
      </c>
      <c r="BA385" s="777">
        <f ca="1" t="shared" si="943" ref="BA385:BJ385">IF(INDEX(MO_SNA_IsHistoricalPeriod,1,COLUMN())=FALSE,0,INDEX(MO_SPT_StockAverage,1,COLUMN()))</f>
        <v>131.80322580645199</v>
      </c>
      <c r="BB385" s="777">
        <f t="shared" ca="1" si="943"/>
        <v>117.870967741936</v>
      </c>
      <c r="BC385" s="320">
        <f ca="1">IF(INDEX(MO_SNA_IsHistoricalPeriod,1,COLUMN())=FALSE,0,INDEX(MO_SPT_StockAverage,1,COLUMN()))</f>
        <v>115.431904761905</v>
      </c>
      <c r="BD385" s="777">
        <f t="shared" ca="1" si="943"/>
        <v>112.690952380952</v>
      </c>
      <c r="BE385" s="1255">
        <f t="shared" ca="1" si="943"/>
        <v>119.40616</v>
      </c>
      <c r="BF385" s="777">
        <f ca="1">IF(INDEX(MO_SNA_IsHistoricalPeriod,1,COLUMN())=FALSE,0,INDEX(MO_SPT_StockAverage,1,COLUMN()))</f>
        <v>123.257737508197</v>
      </c>
      <c r="BG385" s="777">
        <f ca="1">IF(INDEX(MO_SNA_IsHistoricalPeriod,1,COLUMN())=FALSE,0,INDEX(MO_SPT_StockAverage,1,COLUMN()))</f>
        <v>128.675238095238</v>
      </c>
      <c r="BH385" s="946">
        <f ca="1">IF(INDEX(MO_SNA_IsHistoricalPeriod,1,COLUMN())=FALSE,0,INDEX(MO_SPT_StockAverage,1,COLUMN()))</f>
        <v>125.93406429687499</v>
      </c>
      <c r="BI385" s="765">
        <f>IF(INDEX(MO_SNA_IsHistoricalPeriod,1,COLUMN())=FALSE,0,INDEX(MO_SPT_StockAverage,1,COLUMN()))</f>
        <v>0</v>
      </c>
      <c r="BJ385" s="1256">
        <f t="shared" si="943"/>
        <v>0</v>
      </c>
      <c r="BK385" s="765">
        <f t="shared" si="944" ref="BK385:BR385">IF(INDEX(MO_SNA_IsHistoricalPeriod,1,COLUMN())=FALSE,0,INDEX(MO_SPT_StockAverage,1,COLUMN()))</f>
        <v>0</v>
      </c>
      <c r="BL385" s="765">
        <f t="shared" si="944"/>
        <v>0</v>
      </c>
      <c r="BM385" s="765">
        <f t="shared" si="944"/>
        <v>0</v>
      </c>
      <c r="BN385" s="765">
        <f t="shared" si="944"/>
        <v>0</v>
      </c>
      <c r="BO385" s="1256">
        <f t="shared" si="944"/>
        <v>0</v>
      </c>
      <c r="BP385" s="1257">
        <f t="shared" si="944"/>
        <v>0</v>
      </c>
      <c r="BQ385" s="1257">
        <f t="shared" si="944"/>
        <v>0</v>
      </c>
      <c r="BR385" s="1256">
        <f t="shared" si="944"/>
        <v>0</v>
      </c>
      <c r="BS385" s="237"/>
    </row>
    <row r="386" spans="1:71" s="690" customFormat="1" ht="15" hidden="1" outlineLevel="1">
      <c r="A386" s="263" t="str">
        <f ca="1">"Stock EoP, "&amp;HP.TradeCurrency</f>
        <v>Stock EoP, USD</v>
      </c>
      <c r="B386" s="539"/>
      <c r="C386" s="1258">
        <f t="shared" si="945" ref="C386:AH386">IF(INDEX(MO_SNA_IsHistoricalPeriod,1,COLUMN())=FALSE,MO.LastPrice,INDEX(MO_SPT_StockEoP,1,COLUMN()))</f>
        <v>25.24</v>
      </c>
      <c r="D386" s="1258">
        <f t="shared" si="945"/>
        <v>32.380000000000003</v>
      </c>
      <c r="E386" s="1258">
        <f t="shared" si="945"/>
        <v>36.89</v>
      </c>
      <c r="F386" s="1258">
        <f t="shared" si="945"/>
        <v>39.18</v>
      </c>
      <c r="G386" s="1258">
        <f t="shared" si="945"/>
        <v>57.17</v>
      </c>
      <c r="H386" s="643">
        <f t="shared" si="945"/>
        <v>57.02</v>
      </c>
      <c r="I386" s="643">
        <f t="shared" si="945"/>
        <v>59.10</v>
      </c>
      <c r="J386" s="643">
        <f t="shared" si="945"/>
        <v>58.44</v>
      </c>
      <c r="K386" s="643">
        <f t="shared" si="945"/>
        <v>61.39</v>
      </c>
      <c r="L386" s="1258">
        <f t="shared" si="945"/>
        <v>61.39</v>
      </c>
      <c r="M386" s="643">
        <f t="shared" si="945"/>
        <v>64.489999999999995</v>
      </c>
      <c r="N386" s="643">
        <f t="shared" si="945"/>
        <v>64.870000000000005</v>
      </c>
      <c r="O386" s="643">
        <f t="shared" si="945"/>
        <v>68.739999999999995</v>
      </c>
      <c r="P386" s="643">
        <f t="shared" si="945"/>
        <v>73.09</v>
      </c>
      <c r="Q386" s="1258">
        <f t="shared" si="945"/>
        <v>73.09</v>
      </c>
      <c r="R386" s="643">
        <f t="shared" si="945"/>
        <v>71.120000000000005</v>
      </c>
      <c r="S386" s="643">
        <f t="shared" si="945"/>
        <v>72.02</v>
      </c>
      <c r="T386" s="643">
        <f t="shared" si="945"/>
        <v>74.53</v>
      </c>
      <c r="U386" s="643">
        <f t="shared" si="945"/>
        <v>88.12</v>
      </c>
      <c r="V386" s="1258">
        <f t="shared" si="945"/>
        <v>88.12</v>
      </c>
      <c r="W386" s="643">
        <f t="shared" si="945"/>
        <v>95.42</v>
      </c>
      <c r="X386" s="643">
        <f t="shared" si="945"/>
        <v>99.51</v>
      </c>
      <c r="Y386" s="643">
        <f t="shared" si="945"/>
        <v>103.45</v>
      </c>
      <c r="Z386" s="643">
        <f t="shared" si="945"/>
        <v>108.54000000000001</v>
      </c>
      <c r="AA386" s="1258">
        <f t="shared" si="945"/>
        <v>108.54000000000001</v>
      </c>
      <c r="AB386" s="643">
        <f t="shared" si="945"/>
        <v>112.22</v>
      </c>
      <c r="AC386" s="643">
        <f t="shared" si="945"/>
        <v>107.33</v>
      </c>
      <c r="AD386" s="643">
        <f t="shared" si="945"/>
        <v>110.97</v>
      </c>
      <c r="AE386" s="643">
        <f t="shared" si="945"/>
        <v>89.38</v>
      </c>
      <c r="AF386" s="1258">
        <f t="shared" si="945"/>
        <v>89.38</v>
      </c>
      <c r="AG386" s="643">
        <f t="shared" si="945"/>
        <v>96.21</v>
      </c>
      <c r="AH386" s="643">
        <f t="shared" si="945"/>
        <v>102.47</v>
      </c>
      <c r="AI386" s="643">
        <f t="shared" si="946" ref="AI386:BE386">IF(INDEX(MO_SNA_IsHistoricalPeriod,1,COLUMN())=FALSE,MO.LastPrice,INDEX(MO_SPT_StockEoP,1,COLUMN()))</f>
        <v>106.98999999999999</v>
      </c>
      <c r="AJ386" s="643">
        <f t="shared" si="946"/>
        <v>109.45999999999999</v>
      </c>
      <c r="AK386" s="1258">
        <f t="shared" si="946"/>
        <v>109.45999999999999</v>
      </c>
      <c r="AL386" s="643">
        <f t="shared" si="946"/>
        <v>71.56</v>
      </c>
      <c r="AM386" s="643">
        <f t="shared" si="946"/>
        <v>61.34</v>
      </c>
      <c r="AN386" s="643">
        <f t="shared" si="946"/>
        <v>66.150000000000006</v>
      </c>
      <c r="AO386" s="643">
        <f t="shared" si="946"/>
        <v>87.37</v>
      </c>
      <c r="AP386" s="1258">
        <f t="shared" si="946"/>
        <v>87.37</v>
      </c>
      <c r="AQ386" s="643">
        <f t="shared" si="946"/>
        <v>116.39</v>
      </c>
      <c r="AR386" s="643">
        <f t="shared" si="946"/>
        <v>123.33</v>
      </c>
      <c r="AS386" s="643">
        <f t="shared" si="946"/>
        <v>126.98</v>
      </c>
      <c r="AT386" s="643">
        <f t="shared" si="946"/>
        <v>136.83000000000001</v>
      </c>
      <c r="AU386" s="1259">
        <f t="shared" si="946"/>
        <v>136.83000000000001</v>
      </c>
      <c r="AV386" s="643">
        <f t="shared" si="946"/>
        <v>147.72</v>
      </c>
      <c r="AW386" s="643">
        <f t="shared" si="946"/>
        <v>135.91999999999999</v>
      </c>
      <c r="AX386" s="643">
        <f t="shared" si="946"/>
        <v>123.26000000000001</v>
      </c>
      <c r="AY386" s="643">
        <f t="shared" si="946"/>
        <v>137.28</v>
      </c>
      <c r="AZ386" s="1259">
        <f t="shared" si="946"/>
        <v>137.28</v>
      </c>
      <c r="BA386" s="778">
        <f>IF(INDEX(MO_SNA_IsHistoricalPeriod,1,COLUMN())=FALSE,MO.LastPrice,INDEX(MO_SPT_StockEoP,1,COLUMN()))</f>
        <v>119.72</v>
      </c>
      <c r="BB386" s="778">
        <f>IF(INDEX(MO_SNA_IsHistoricalPeriod,1,COLUMN())=FALSE,MO.LastPrice,INDEX(MO_SPT_StockEoP,1,COLUMN()))</f>
        <v>117.92</v>
      </c>
      <c r="BC386" s="643">
        <f>IF(INDEX(MO_SNA_IsHistoricalPeriod,1,COLUMN())=FALSE,MO.LastPrice,INDEX(MO_SPT_StockEoP,1,COLUMN()))</f>
        <v>111.67</v>
      </c>
      <c r="BD386" s="778">
        <f>IF(INDEX(MO_SNA_IsHistoricalPeriod,1,COLUMN())=FALSE,MO.LastPrice,INDEX(MO_SPT_StockEoP,1,COLUMN()))</f>
        <v>118.89</v>
      </c>
      <c r="BE386" s="1259">
        <f t="shared" si="946"/>
        <v>118.89</v>
      </c>
      <c r="BF386" s="778">
        <f t="shared" si="947" ref="BF386:BR386">IF(INDEX(MO_SNA_IsHistoricalPeriod,1,COLUMN())=FALSE,MO.LastPrice,INDEX(MO_SPT_StockEoP,1,COLUMN()))</f>
        <v>136.47999999999999</v>
      </c>
      <c r="BG386" s="778">
        <f t="shared" si="947"/>
        <v>123.02</v>
      </c>
      <c r="BH386" s="947">
        <f>IF(INDEX(MO_SNA_IsHistoricalPeriod,1,COLUMN())=FALSE,MO.LastPrice,INDEX(MO_SPT_StockEoP,1,COLUMN()))</f>
        <v>131.31407100000001</v>
      </c>
      <c r="BI386" s="766">
        <f t="shared" ca="1" si="947"/>
        <v>142.03</v>
      </c>
      <c r="BJ386" s="1260">
        <f t="shared" ca="1" si="947"/>
        <v>142.03</v>
      </c>
      <c r="BK386" s="766">
        <f t="shared" ca="1" si="947"/>
        <v>142.03</v>
      </c>
      <c r="BL386" s="766">
        <f t="shared" ca="1" si="947"/>
        <v>142.03</v>
      </c>
      <c r="BM386" s="766">
        <f t="shared" ca="1" si="947"/>
        <v>142.03</v>
      </c>
      <c r="BN386" s="766">
        <f t="shared" ca="1" si="947"/>
        <v>142.03</v>
      </c>
      <c r="BO386" s="1260">
        <f t="shared" ca="1" si="947"/>
        <v>142.03</v>
      </c>
      <c r="BP386" s="1261">
        <f t="shared" ca="1" si="947"/>
        <v>142.03</v>
      </c>
      <c r="BQ386" s="1261">
        <f t="shared" ca="1" si="947"/>
        <v>142.03</v>
      </c>
      <c r="BR386" s="1260">
        <f t="shared" ca="1" si="947"/>
        <v>142.03</v>
      </c>
      <c r="BS386" s="237"/>
    </row>
    <row r="387" spans="1:71" s="691" customFormat="1" ht="15" hidden="1" outlineLevel="1">
      <c r="A387" s="264" t="str">
        <f ca="1">"Average FX Rate, "&amp;HP.TradeCurrency&amp;"/"&amp;MO.ReportCurrency</f>
        <v>Average FX Rate, USD/USD</v>
      </c>
      <c r="B387" s="540"/>
      <c r="C387" s="1262">
        <f ca="1" t="shared" si="948" ref="C387:AU387">IF(INDEX(MO_SPT_FXAverage,1,COLUMN())=0,1,INDEX(MO_SPT_FXAverage,1,COLUMN()))</f>
        <v>1</v>
      </c>
      <c r="D387" s="1262">
        <f t="shared" ca="1" si="948"/>
        <v>1</v>
      </c>
      <c r="E387" s="1262">
        <f t="shared" ca="1" si="948"/>
        <v>1</v>
      </c>
      <c r="F387" s="1262">
        <f t="shared" ca="1" si="948"/>
        <v>1</v>
      </c>
      <c r="G387" s="1262">
        <f t="shared" ca="1" si="948"/>
        <v>1</v>
      </c>
      <c r="H387" s="646">
        <f t="shared" ca="1" si="948"/>
        <v>1</v>
      </c>
      <c r="I387" s="646">
        <f t="shared" ca="1" si="948"/>
        <v>1</v>
      </c>
      <c r="J387" s="646">
        <f t="shared" ca="1" si="948"/>
        <v>1</v>
      </c>
      <c r="K387" s="646">
        <f t="shared" ca="1" si="948"/>
        <v>1</v>
      </c>
      <c r="L387" s="1262">
        <f t="shared" ca="1" si="948"/>
        <v>1</v>
      </c>
      <c r="M387" s="646">
        <f t="shared" ca="1" si="948"/>
        <v>1</v>
      </c>
      <c r="N387" s="646">
        <f t="shared" ca="1" si="948"/>
        <v>1</v>
      </c>
      <c r="O387" s="646">
        <f t="shared" ca="1" si="948"/>
        <v>1</v>
      </c>
      <c r="P387" s="646">
        <f t="shared" ca="1" si="948"/>
        <v>1</v>
      </c>
      <c r="Q387" s="1262">
        <f t="shared" ca="1" si="948"/>
        <v>1</v>
      </c>
      <c r="R387" s="646">
        <f t="shared" ca="1" si="948"/>
        <v>1</v>
      </c>
      <c r="S387" s="646">
        <f t="shared" ca="1" si="948"/>
        <v>1</v>
      </c>
      <c r="T387" s="646">
        <f t="shared" ca="1" si="948"/>
        <v>1</v>
      </c>
      <c r="U387" s="646">
        <f t="shared" ca="1" si="948"/>
        <v>1</v>
      </c>
      <c r="V387" s="1262">
        <f t="shared" ca="1" si="948"/>
        <v>1</v>
      </c>
      <c r="W387" s="646">
        <f t="shared" ca="1" si="948"/>
        <v>1</v>
      </c>
      <c r="X387" s="646">
        <f t="shared" ca="1" si="948"/>
        <v>1</v>
      </c>
      <c r="Y387" s="646">
        <f t="shared" ca="1" si="948"/>
        <v>1</v>
      </c>
      <c r="Z387" s="646">
        <f t="shared" ca="1" si="948"/>
        <v>1</v>
      </c>
      <c r="AA387" s="1262">
        <f t="shared" ca="1" si="948"/>
        <v>1</v>
      </c>
      <c r="AB387" s="646">
        <f t="shared" ca="1" si="948"/>
        <v>1</v>
      </c>
      <c r="AC387" s="646">
        <f t="shared" ca="1" si="948"/>
        <v>1</v>
      </c>
      <c r="AD387" s="646">
        <f t="shared" ca="1" si="948"/>
        <v>1</v>
      </c>
      <c r="AE387" s="646">
        <f t="shared" ca="1" si="948"/>
        <v>1</v>
      </c>
      <c r="AF387" s="1262">
        <f t="shared" ca="1" si="948"/>
        <v>1</v>
      </c>
      <c r="AG387" s="646">
        <f t="shared" ca="1" si="948"/>
        <v>1</v>
      </c>
      <c r="AH387" s="646">
        <f t="shared" ca="1" si="948"/>
        <v>1</v>
      </c>
      <c r="AI387" s="646">
        <f t="shared" ca="1" si="948"/>
        <v>1</v>
      </c>
      <c r="AJ387" s="646">
        <f t="shared" ca="1" si="948"/>
        <v>1</v>
      </c>
      <c r="AK387" s="1262">
        <f t="shared" ca="1" si="948"/>
        <v>1</v>
      </c>
      <c r="AL387" s="646">
        <f ca="1" t="shared" si="949" ref="AL387:AQ387">IF(INDEX(MO_SPT_FXAverage,1,COLUMN())=0,1,INDEX(MO_SPT_FXAverage,1,COLUMN()))</f>
        <v>1</v>
      </c>
      <c r="AM387" s="646">
        <f t="shared" ca="1" si="949"/>
        <v>1</v>
      </c>
      <c r="AN387" s="646">
        <f t="shared" ca="1" si="949"/>
        <v>1</v>
      </c>
      <c r="AO387" s="646">
        <f t="shared" ca="1" si="949"/>
        <v>1</v>
      </c>
      <c r="AP387" s="1262">
        <f t="shared" ca="1" si="949"/>
        <v>1</v>
      </c>
      <c r="AQ387" s="646">
        <f t="shared" ca="1" si="949"/>
        <v>1</v>
      </c>
      <c r="AR387" s="646">
        <f t="shared" ca="1" si="948"/>
        <v>1</v>
      </c>
      <c r="AS387" s="646">
        <f t="shared" ca="1" si="948"/>
        <v>1</v>
      </c>
      <c r="AT387" s="646">
        <f t="shared" ca="1" si="948"/>
        <v>1</v>
      </c>
      <c r="AU387" s="1263">
        <f t="shared" ca="1" si="948"/>
        <v>1</v>
      </c>
      <c r="AV387" s="646">
        <f ca="1">IF(INDEX(MO_SPT_FXAverage,1,COLUMN())=0,1,INDEX(MO_SPT_FXAverage,1,COLUMN()))</f>
        <v>1</v>
      </c>
      <c r="AW387" s="646">
        <f ca="1">IF(INDEX(MO_SPT_FXAverage,1,COLUMN())=0,1,INDEX(MO_SPT_FXAverage,1,COLUMN()))</f>
        <v>1</v>
      </c>
      <c r="AX387" s="646">
        <f ca="1">IF(INDEX(MO_SPT_FXAverage,1,COLUMN())=0,1,INDEX(MO_SPT_FXAverage,1,COLUMN()))</f>
        <v>1</v>
      </c>
      <c r="AY387" s="646">
        <f ca="1">IF(INDEX(MO_SPT_FXAverage,1,COLUMN())=0,1,INDEX(MO_SPT_FXAverage,1,COLUMN()))</f>
        <v>1</v>
      </c>
      <c r="AZ387" s="1263">
        <f ca="1">IF(INDEX(MO_SPT_FXAverage,1,COLUMN())=0,1,INDEX(MO_SPT_FXAverage,1,COLUMN()))</f>
        <v>1</v>
      </c>
      <c r="BA387" s="779">
        <f ca="1" t="shared" si="950" ref="BA387:BJ387">IF(INDEX(MO_SPT_FXAverage,1,COLUMN())=0,1,INDEX(MO_SPT_FXAverage,1,COLUMN()))</f>
        <v>1</v>
      </c>
      <c r="BB387" s="779">
        <f t="shared" ca="1" si="950"/>
        <v>1</v>
      </c>
      <c r="BC387" s="646">
        <f ca="1">IF(INDEX(MO_SPT_FXAverage,1,COLUMN())=0,1,INDEX(MO_SPT_FXAverage,1,COLUMN()))</f>
        <v>1</v>
      </c>
      <c r="BD387" s="779">
        <f t="shared" ca="1" si="950"/>
        <v>1</v>
      </c>
      <c r="BE387" s="1263">
        <f t="shared" ca="1" si="950"/>
        <v>1</v>
      </c>
      <c r="BF387" s="779">
        <f ca="1">IF(INDEX(MO_SPT_FXAverage,1,COLUMN())=0,1,INDEX(MO_SPT_FXAverage,1,COLUMN()))</f>
        <v>1</v>
      </c>
      <c r="BG387" s="779">
        <f ca="1">IF(INDEX(MO_SPT_FXAverage,1,COLUMN())=0,1,INDEX(MO_SPT_FXAverage,1,COLUMN()))</f>
        <v>1</v>
      </c>
      <c r="BH387" s="948">
        <f ca="1">IF(INDEX(MO_SPT_FXAverage,1,COLUMN())=0,1,INDEX(MO_SPT_FXAverage,1,COLUMN()))</f>
        <v>1</v>
      </c>
      <c r="BI387" s="767">
        <f ca="1">IF(INDEX(MO_SPT_FXAverage,1,COLUMN())=0,1,INDEX(MO_SPT_FXAverage,1,COLUMN()))</f>
        <v>1</v>
      </c>
      <c r="BJ387" s="1264">
        <f t="shared" ca="1" si="950"/>
        <v>1</v>
      </c>
      <c r="BK387" s="767">
        <f ca="1" t="shared" si="951" ref="BK387:BR387">IF(INDEX(MO_SPT_FXAverage,1,COLUMN())=0,1,INDEX(MO_SPT_FXAverage,1,COLUMN()))</f>
        <v>1</v>
      </c>
      <c r="BL387" s="767">
        <f t="shared" ca="1" si="951"/>
        <v>1</v>
      </c>
      <c r="BM387" s="767">
        <f t="shared" ca="1" si="951"/>
        <v>1</v>
      </c>
      <c r="BN387" s="767">
        <f t="shared" ca="1" si="951"/>
        <v>1</v>
      </c>
      <c r="BO387" s="1264">
        <f t="shared" ca="1" si="951"/>
        <v>1</v>
      </c>
      <c r="BP387" s="1265">
        <f t="shared" ca="1" si="951"/>
        <v>1</v>
      </c>
      <c r="BQ387" s="1265">
        <f t="shared" ca="1" si="951"/>
        <v>1</v>
      </c>
      <c r="BR387" s="1264">
        <f t="shared" ca="1" si="951"/>
        <v>1</v>
      </c>
      <c r="BS387" s="261"/>
    </row>
    <row r="388" spans="1:71" s="691" customFormat="1" ht="15" hidden="1" outlineLevel="1">
      <c r="A388" s="264" t="str">
        <f ca="1">"EoP FX Rate, "&amp;HP.TradeCurrency&amp;"/"&amp;MO.ReportCurrency</f>
        <v>EoP FX Rate, USD/USD</v>
      </c>
      <c r="B388" s="540"/>
      <c r="C388" s="1262">
        <f t="shared" si="952" ref="C388:AH388">IF(INDEX(MO_SNA_IsHistoricalPeriod,1,COLUMN())=FALSE,HP.MRFX,INDEX(MO_SPT_FXEoP,1,COLUMN()))</f>
        <v>1</v>
      </c>
      <c r="D388" s="1262">
        <f t="shared" si="952"/>
        <v>1</v>
      </c>
      <c r="E388" s="1262">
        <f t="shared" si="952"/>
        <v>1</v>
      </c>
      <c r="F388" s="1262">
        <f t="shared" si="952"/>
        <v>1</v>
      </c>
      <c r="G388" s="1262">
        <f t="shared" si="952"/>
        <v>1</v>
      </c>
      <c r="H388" s="646">
        <f t="shared" si="952"/>
        <v>1</v>
      </c>
      <c r="I388" s="646">
        <f t="shared" si="952"/>
        <v>1</v>
      </c>
      <c r="J388" s="646">
        <f t="shared" si="952"/>
        <v>1</v>
      </c>
      <c r="K388" s="646">
        <f t="shared" si="952"/>
        <v>1</v>
      </c>
      <c r="L388" s="1262">
        <f t="shared" si="952"/>
        <v>1</v>
      </c>
      <c r="M388" s="646">
        <f t="shared" si="952"/>
        <v>1</v>
      </c>
      <c r="N388" s="646">
        <f t="shared" si="952"/>
        <v>1</v>
      </c>
      <c r="O388" s="646">
        <f t="shared" si="952"/>
        <v>1</v>
      </c>
      <c r="P388" s="646">
        <f t="shared" si="952"/>
        <v>1</v>
      </c>
      <c r="Q388" s="1262">
        <f t="shared" si="952"/>
        <v>1</v>
      </c>
      <c r="R388" s="646">
        <f t="shared" si="952"/>
        <v>1</v>
      </c>
      <c r="S388" s="646">
        <f t="shared" si="952"/>
        <v>1</v>
      </c>
      <c r="T388" s="646">
        <f t="shared" si="952"/>
        <v>1</v>
      </c>
      <c r="U388" s="646">
        <f t="shared" si="952"/>
        <v>1</v>
      </c>
      <c r="V388" s="1262">
        <f t="shared" si="952"/>
        <v>1</v>
      </c>
      <c r="W388" s="646">
        <f t="shared" si="952"/>
        <v>1</v>
      </c>
      <c r="X388" s="646">
        <f t="shared" si="952"/>
        <v>1</v>
      </c>
      <c r="Y388" s="646">
        <f t="shared" si="952"/>
        <v>1</v>
      </c>
      <c r="Z388" s="646">
        <f t="shared" si="952"/>
        <v>1</v>
      </c>
      <c r="AA388" s="1262">
        <f t="shared" si="952"/>
        <v>1</v>
      </c>
      <c r="AB388" s="646">
        <f t="shared" si="952"/>
        <v>1</v>
      </c>
      <c r="AC388" s="646">
        <f t="shared" si="952"/>
        <v>1</v>
      </c>
      <c r="AD388" s="646">
        <f t="shared" si="952"/>
        <v>1</v>
      </c>
      <c r="AE388" s="646">
        <f t="shared" si="952"/>
        <v>1</v>
      </c>
      <c r="AF388" s="1262">
        <f t="shared" si="952"/>
        <v>1</v>
      </c>
      <c r="AG388" s="646">
        <f t="shared" si="952"/>
        <v>1</v>
      </c>
      <c r="AH388" s="646">
        <f t="shared" si="952"/>
        <v>1</v>
      </c>
      <c r="AI388" s="646">
        <f t="shared" si="953" ref="AI388:BE388">IF(INDEX(MO_SNA_IsHistoricalPeriod,1,COLUMN())=FALSE,HP.MRFX,INDEX(MO_SPT_FXEoP,1,COLUMN()))</f>
        <v>1</v>
      </c>
      <c r="AJ388" s="646">
        <f t="shared" si="953"/>
        <v>1</v>
      </c>
      <c r="AK388" s="1262">
        <f t="shared" si="953"/>
        <v>1</v>
      </c>
      <c r="AL388" s="646">
        <f t="shared" si="953"/>
        <v>1</v>
      </c>
      <c r="AM388" s="646">
        <f t="shared" si="953"/>
        <v>1</v>
      </c>
      <c r="AN388" s="646">
        <f t="shared" si="953"/>
        <v>1</v>
      </c>
      <c r="AO388" s="646">
        <f t="shared" si="953"/>
        <v>1</v>
      </c>
      <c r="AP388" s="1262">
        <f t="shared" si="953"/>
        <v>1</v>
      </c>
      <c r="AQ388" s="646">
        <f t="shared" si="953"/>
        <v>1</v>
      </c>
      <c r="AR388" s="646">
        <f t="shared" si="953"/>
        <v>1</v>
      </c>
      <c r="AS388" s="646">
        <f t="shared" si="953"/>
        <v>1</v>
      </c>
      <c r="AT388" s="646">
        <f t="shared" si="953"/>
        <v>1</v>
      </c>
      <c r="AU388" s="1263">
        <f t="shared" si="953"/>
        <v>1</v>
      </c>
      <c r="AV388" s="646">
        <f t="shared" si="953"/>
        <v>1</v>
      </c>
      <c r="AW388" s="646">
        <f t="shared" si="953"/>
        <v>1</v>
      </c>
      <c r="AX388" s="646">
        <f t="shared" si="953"/>
        <v>1</v>
      </c>
      <c r="AY388" s="646">
        <f t="shared" si="953"/>
        <v>1</v>
      </c>
      <c r="AZ388" s="1263">
        <f t="shared" si="953"/>
        <v>1</v>
      </c>
      <c r="BA388" s="779">
        <f>IF(INDEX(MO_SNA_IsHistoricalPeriod,1,COLUMN())=FALSE,HP.MRFX,INDEX(MO_SPT_FXEoP,1,COLUMN()))</f>
        <v>1</v>
      </c>
      <c r="BB388" s="779">
        <f>IF(INDEX(MO_SNA_IsHistoricalPeriod,1,COLUMN())=FALSE,HP.MRFX,INDEX(MO_SPT_FXEoP,1,COLUMN()))</f>
        <v>1</v>
      </c>
      <c r="BC388" s="646">
        <f>IF(INDEX(MO_SNA_IsHistoricalPeriod,1,COLUMN())=FALSE,HP.MRFX,INDEX(MO_SPT_FXEoP,1,COLUMN()))</f>
        <v>1</v>
      </c>
      <c r="BD388" s="779">
        <f>IF(INDEX(MO_SNA_IsHistoricalPeriod,1,COLUMN())=FALSE,HP.MRFX,INDEX(MO_SPT_FXEoP,1,COLUMN()))</f>
        <v>1</v>
      </c>
      <c r="BE388" s="1263">
        <f t="shared" si="953"/>
        <v>1</v>
      </c>
      <c r="BF388" s="779">
        <f t="shared" si="954" ref="BF388:BR388">IF(INDEX(MO_SNA_IsHistoricalPeriod,1,COLUMN())=FALSE,HP.MRFX,INDEX(MO_SPT_FXEoP,1,COLUMN()))</f>
        <v>1</v>
      </c>
      <c r="BG388" s="779">
        <f t="shared" si="954"/>
        <v>1</v>
      </c>
      <c r="BH388" s="948">
        <f>IF(INDEX(MO_SNA_IsHistoricalPeriod,1,COLUMN())=FALSE,HP.MRFX,INDEX(MO_SPT_FXEoP,1,COLUMN()))</f>
        <v>1</v>
      </c>
      <c r="BI388" s="767">
        <f t="shared" ca="1" si="954"/>
        <v>1</v>
      </c>
      <c r="BJ388" s="1264">
        <f t="shared" ca="1" si="954"/>
        <v>1</v>
      </c>
      <c r="BK388" s="767">
        <f t="shared" ca="1" si="954"/>
        <v>1</v>
      </c>
      <c r="BL388" s="767">
        <f t="shared" ca="1" si="954"/>
        <v>1</v>
      </c>
      <c r="BM388" s="767">
        <f t="shared" ca="1" si="954"/>
        <v>1</v>
      </c>
      <c r="BN388" s="767">
        <f t="shared" ca="1" si="954"/>
        <v>1</v>
      </c>
      <c r="BO388" s="1264">
        <f t="shared" ca="1" si="954"/>
        <v>1</v>
      </c>
      <c r="BP388" s="1265">
        <f t="shared" ca="1" si="954"/>
        <v>1</v>
      </c>
      <c r="BQ388" s="1265">
        <f t="shared" ca="1" si="954"/>
        <v>1</v>
      </c>
      <c r="BR388" s="1264">
        <f t="shared" ca="1" si="954"/>
        <v>1</v>
      </c>
      <c r="BS388" s="261"/>
    </row>
    <row r="389" spans="1:71" s="690" customFormat="1" ht="15" hidden="1" outlineLevel="1">
      <c r="A389" s="263" t="str">
        <f ca="1">"Stock Price (Trading Cur.) - "&amp;MO.ValuationToggle&amp;", "&amp;HP.TradeCurrency</f>
        <v>Stock Price (Trading Cur.) - EoP, USD</v>
      </c>
      <c r="B389" s="539"/>
      <c r="C389" s="1254">
        <f t="shared" si="955" ref="C389:AH389">IF(INDEX(MO_SNA_IsHistoricalPeriod,1,COLUMN())=FALSE,MO.LastPrice,CHOOSE(VLOOKUP(MO.ValuationToggle,tb_ValuationToggle,COLUMNS(tb_ValuationToggle),FALSE),C383,C384,C385,C386))</f>
        <v>25.24</v>
      </c>
      <c r="D389" s="1254">
        <f t="shared" si="955"/>
        <v>32.380000000000003</v>
      </c>
      <c r="E389" s="1254">
        <f t="shared" si="955"/>
        <v>36.89</v>
      </c>
      <c r="F389" s="1254">
        <f t="shared" si="955"/>
        <v>39.18</v>
      </c>
      <c r="G389" s="1254">
        <f t="shared" si="955"/>
        <v>57.17</v>
      </c>
      <c r="H389" s="320">
        <f t="shared" si="955"/>
        <v>57.02</v>
      </c>
      <c r="I389" s="320">
        <f t="shared" si="955"/>
        <v>59.10</v>
      </c>
      <c r="J389" s="320">
        <f t="shared" si="955"/>
        <v>58.44</v>
      </c>
      <c r="K389" s="320">
        <f t="shared" si="955"/>
        <v>61.39</v>
      </c>
      <c r="L389" s="1254">
        <f t="shared" si="955"/>
        <v>61.39</v>
      </c>
      <c r="M389" s="320">
        <f t="shared" si="955"/>
        <v>64.489999999999995</v>
      </c>
      <c r="N389" s="320">
        <f t="shared" si="955"/>
        <v>64.870000000000005</v>
      </c>
      <c r="O389" s="320">
        <f t="shared" si="955"/>
        <v>68.739999999999995</v>
      </c>
      <c r="P389" s="320">
        <f t="shared" si="955"/>
        <v>73.09</v>
      </c>
      <c r="Q389" s="1254">
        <f t="shared" si="955"/>
        <v>73.09</v>
      </c>
      <c r="R389" s="320">
        <f t="shared" si="955"/>
        <v>71.120000000000005</v>
      </c>
      <c r="S389" s="320">
        <f t="shared" si="955"/>
        <v>72.02</v>
      </c>
      <c r="T389" s="320">
        <f t="shared" si="955"/>
        <v>74.53</v>
      </c>
      <c r="U389" s="320">
        <f t="shared" si="955"/>
        <v>88.12</v>
      </c>
      <c r="V389" s="1254">
        <f t="shared" si="955"/>
        <v>88.12</v>
      </c>
      <c r="W389" s="320">
        <f t="shared" si="955"/>
        <v>95.42</v>
      </c>
      <c r="X389" s="320">
        <f t="shared" si="955"/>
        <v>99.51</v>
      </c>
      <c r="Y389" s="320">
        <f t="shared" si="955"/>
        <v>103.45</v>
      </c>
      <c r="Z389" s="320">
        <f t="shared" si="955"/>
        <v>108.54000000000001</v>
      </c>
      <c r="AA389" s="1254">
        <f t="shared" si="955"/>
        <v>108.54000000000001</v>
      </c>
      <c r="AB389" s="320">
        <f t="shared" si="955"/>
        <v>112.22</v>
      </c>
      <c r="AC389" s="320">
        <f t="shared" si="955"/>
        <v>107.33</v>
      </c>
      <c r="AD389" s="320">
        <f t="shared" si="955"/>
        <v>110.97</v>
      </c>
      <c r="AE389" s="320">
        <f t="shared" si="955"/>
        <v>89.38</v>
      </c>
      <c r="AF389" s="1254">
        <f t="shared" si="955"/>
        <v>89.38</v>
      </c>
      <c r="AG389" s="320">
        <f t="shared" si="955"/>
        <v>96.21</v>
      </c>
      <c r="AH389" s="320">
        <f t="shared" si="955"/>
        <v>102.47</v>
      </c>
      <c r="AI389" s="320">
        <f t="shared" si="956" ref="AI389:BJ389">IF(INDEX(MO_SNA_IsHistoricalPeriod,1,COLUMN())=FALSE,MO.LastPrice,CHOOSE(VLOOKUP(MO.ValuationToggle,tb_ValuationToggle,COLUMNS(tb_ValuationToggle),FALSE),AI383,AI384,AI385,AI386))</f>
        <v>106.98999999999999</v>
      </c>
      <c r="AJ389" s="320">
        <f t="shared" si="956"/>
        <v>109.45999999999999</v>
      </c>
      <c r="AK389" s="1254">
        <f t="shared" si="956"/>
        <v>109.45999999999999</v>
      </c>
      <c r="AL389" s="320">
        <f t="shared" si="956"/>
        <v>71.56</v>
      </c>
      <c r="AM389" s="320">
        <f t="shared" si="956"/>
        <v>61.34</v>
      </c>
      <c r="AN389" s="320">
        <f t="shared" si="956"/>
        <v>66.150000000000006</v>
      </c>
      <c r="AO389" s="320">
        <f t="shared" si="956"/>
        <v>87.37</v>
      </c>
      <c r="AP389" s="1254">
        <f t="shared" si="956"/>
        <v>87.37</v>
      </c>
      <c r="AQ389" s="320">
        <f t="shared" si="956"/>
        <v>116.39</v>
      </c>
      <c r="AR389" s="320">
        <f t="shared" si="956"/>
        <v>123.33</v>
      </c>
      <c r="AS389" s="320">
        <f t="shared" si="956"/>
        <v>126.98</v>
      </c>
      <c r="AT389" s="320">
        <f t="shared" si="956"/>
        <v>136.83000000000001</v>
      </c>
      <c r="AU389" s="1255">
        <f t="shared" si="956"/>
        <v>136.83000000000001</v>
      </c>
      <c r="AV389" s="320">
        <f t="shared" si="956"/>
        <v>147.72</v>
      </c>
      <c r="AW389" s="320">
        <f t="shared" si="956"/>
        <v>135.91999999999999</v>
      </c>
      <c r="AX389" s="320">
        <f t="shared" si="956"/>
        <v>123.26000000000001</v>
      </c>
      <c r="AY389" s="320">
        <f t="shared" si="956"/>
        <v>137.28</v>
      </c>
      <c r="AZ389" s="1255">
        <f t="shared" si="956"/>
        <v>137.28</v>
      </c>
      <c r="BA389" s="777">
        <f t="shared" si="956"/>
        <v>119.72</v>
      </c>
      <c r="BB389" s="777">
        <f t="shared" si="956"/>
        <v>117.92</v>
      </c>
      <c r="BC389" s="320">
        <f>IF(INDEX(MO_SNA_IsHistoricalPeriod,1,COLUMN())=FALSE,MO.LastPrice,CHOOSE(VLOOKUP(MO.ValuationToggle,tb_ValuationToggle,COLUMNS(tb_ValuationToggle),FALSE),BC383,BC384,BC385,BC386))</f>
        <v>111.67</v>
      </c>
      <c r="BD389" s="777">
        <f t="shared" si="956"/>
        <v>118.89</v>
      </c>
      <c r="BE389" s="1255">
        <f t="shared" si="956"/>
        <v>118.89</v>
      </c>
      <c r="BF389" s="777">
        <f>IF(INDEX(MO_SNA_IsHistoricalPeriod,1,COLUMN())=FALSE,MO.LastPrice,CHOOSE(VLOOKUP(MO.ValuationToggle,tb_ValuationToggle,COLUMNS(tb_ValuationToggle),FALSE),BF383,BF384,BF385,BF386))</f>
        <v>136.47999999999999</v>
      </c>
      <c r="BG389" s="777">
        <f>IF(INDEX(MO_SNA_IsHistoricalPeriod,1,COLUMN())=FALSE,MO.LastPrice,CHOOSE(VLOOKUP(MO.ValuationToggle,tb_ValuationToggle,COLUMNS(tb_ValuationToggle),FALSE),BG383,BG384,BG385,BG386))</f>
        <v>123.02</v>
      </c>
      <c r="BH389" s="946">
        <f>IF(INDEX(MO_SNA_IsHistoricalPeriod,1,COLUMN())=FALSE,MO.LastPrice,CHOOSE(VLOOKUP(MO.ValuationToggle,tb_ValuationToggle,COLUMNS(tb_ValuationToggle),FALSE),BH383,BH384,BH385,BH386))</f>
        <v>131.31407100000001</v>
      </c>
      <c r="BI389" s="765">
        <f ca="1">IF(INDEX(MO_SNA_IsHistoricalPeriod,1,COLUMN())=FALSE,MO.LastPrice,CHOOSE(VLOOKUP(MO.ValuationToggle,tb_ValuationToggle,COLUMNS(tb_ValuationToggle),FALSE),BI383,BI384,BI385,BI386))</f>
        <v>142.03</v>
      </c>
      <c r="BJ389" s="1256">
        <f t="shared" ca="1" si="956"/>
        <v>142.03</v>
      </c>
      <c r="BK389" s="765">
        <f ca="1" t="shared" si="957" ref="BK389:BR389">IF(INDEX(MO_SNA_IsHistoricalPeriod,1,COLUMN())=FALSE,MO.LastPrice,CHOOSE(VLOOKUP(MO.ValuationToggle,tb_ValuationToggle,COLUMNS(tb_ValuationToggle),FALSE),BK383,BK384,BK385,BK386))</f>
        <v>142.03</v>
      </c>
      <c r="BL389" s="765">
        <f t="shared" ca="1" si="957"/>
        <v>142.03</v>
      </c>
      <c r="BM389" s="765">
        <f t="shared" ca="1" si="957"/>
        <v>142.03</v>
      </c>
      <c r="BN389" s="765">
        <f t="shared" ca="1" si="957"/>
        <v>142.03</v>
      </c>
      <c r="BO389" s="1256">
        <f t="shared" ca="1" si="957"/>
        <v>142.03</v>
      </c>
      <c r="BP389" s="1257">
        <f t="shared" ca="1" si="957"/>
        <v>142.03</v>
      </c>
      <c r="BQ389" s="1257">
        <f t="shared" ca="1" si="957"/>
        <v>142.03</v>
      </c>
      <c r="BR389" s="1256">
        <f t="shared" ca="1" si="957"/>
        <v>142.03</v>
      </c>
      <c r="BS389" s="237"/>
    </row>
    <row r="390" spans="1:71" s="667" customFormat="1" ht="15" collapsed="1">
      <c r="A390" s="541"/>
      <c r="B390" s="500"/>
      <c r="C390" s="1161"/>
      <c r="D390" s="1161"/>
      <c r="E390" s="1161"/>
      <c r="F390" s="1161"/>
      <c r="G390" s="1161"/>
      <c r="H390" s="971"/>
      <c r="I390" s="971"/>
      <c r="J390" s="971"/>
      <c r="K390" s="971"/>
      <c r="L390" s="1161"/>
      <c r="M390" s="971"/>
      <c r="N390" s="971"/>
      <c r="O390" s="971"/>
      <c r="P390" s="971"/>
      <c r="Q390" s="1161"/>
      <c r="R390" s="971"/>
      <c r="S390" s="971"/>
      <c r="T390" s="971"/>
      <c r="U390" s="971"/>
      <c r="V390" s="1161"/>
      <c r="W390" s="971"/>
      <c r="X390" s="971"/>
      <c r="Y390" s="971"/>
      <c r="Z390" s="971"/>
      <c r="AA390" s="1161"/>
      <c r="AB390" s="971"/>
      <c r="AC390" s="971"/>
      <c r="AD390" s="971"/>
      <c r="AE390" s="971"/>
      <c r="AF390" s="1161"/>
      <c r="AG390" s="971"/>
      <c r="AH390" s="971"/>
      <c r="AI390" s="971"/>
      <c r="AJ390" s="971"/>
      <c r="AK390" s="1161"/>
      <c r="AL390" s="971"/>
      <c r="AM390" s="971"/>
      <c r="AN390" s="971"/>
      <c r="AO390" s="971"/>
      <c r="AP390" s="1161"/>
      <c r="AQ390" s="971"/>
      <c r="AR390" s="971"/>
      <c r="AS390" s="971"/>
      <c r="AT390" s="971"/>
      <c r="AU390" s="1161"/>
      <c r="AV390" s="971"/>
      <c r="AW390" s="971"/>
      <c r="AX390" s="971"/>
      <c r="AY390" s="971"/>
      <c r="AZ390" s="1161"/>
      <c r="BA390" s="971"/>
      <c r="BB390" s="971"/>
      <c r="BC390" s="971"/>
      <c r="BD390" s="971"/>
      <c r="BE390" s="1161"/>
      <c r="BF390" s="971"/>
      <c r="BG390" s="971"/>
      <c r="BH390" s="972"/>
      <c r="BI390" s="973"/>
      <c r="BJ390" s="1162"/>
      <c r="BK390" s="973"/>
      <c r="BL390" s="973"/>
      <c r="BM390" s="973"/>
      <c r="BN390" s="973"/>
      <c r="BO390" s="1162"/>
      <c r="BP390" s="1161"/>
      <c r="BQ390" s="1161"/>
      <c r="BR390" s="1162"/>
      <c r="BS390" s="664"/>
    </row>
    <row r="391" spans="1:71" s="674" customFormat="1" ht="15">
      <c r="A391" s="434" t="s">
        <v>257</v>
      </c>
      <c r="B391" s="434"/>
      <c r="C391" s="280"/>
      <c r="D391" s="280"/>
      <c r="E391" s="280"/>
      <c r="F391" s="280"/>
      <c r="G391" s="280"/>
      <c r="H391" s="280"/>
      <c r="I391" s="280"/>
      <c r="J391" s="280"/>
      <c r="K391" s="280"/>
      <c r="L391" s="280"/>
      <c r="M391" s="280"/>
      <c r="N391" s="280"/>
      <c r="O391" s="280"/>
      <c r="P391" s="280"/>
      <c r="Q391" s="280"/>
      <c r="R391" s="280"/>
      <c r="S391" s="280"/>
      <c r="T391" s="280"/>
      <c r="U391" s="280"/>
      <c r="V391" s="280"/>
      <c r="W391" s="280"/>
      <c r="X391" s="280"/>
      <c r="Y391" s="280"/>
      <c r="Z391" s="280"/>
      <c r="AA391" s="280"/>
      <c r="AB391" s="280"/>
      <c r="AC391" s="280"/>
      <c r="AD391" s="280"/>
      <c r="AE391" s="280"/>
      <c r="AF391" s="280"/>
      <c r="AG391" s="280"/>
      <c r="AH391" s="280"/>
      <c r="AI391" s="280"/>
      <c r="AJ391" s="280"/>
      <c r="AK391" s="280"/>
      <c r="AL391" s="280"/>
      <c r="AM391" s="280"/>
      <c r="AN391" s="280"/>
      <c r="AO391" s="280"/>
      <c r="AP391" s="280"/>
      <c r="AQ391" s="280"/>
      <c r="AR391" s="280"/>
      <c r="AS391" s="280"/>
      <c r="AT391" s="280"/>
      <c r="AU391" s="280"/>
      <c r="AV391" s="280"/>
      <c r="AW391" s="280"/>
      <c r="AX391" s="280"/>
      <c r="AY391" s="280"/>
      <c r="AZ391" s="280"/>
      <c r="BA391" s="280"/>
      <c r="BB391" s="280"/>
      <c r="BC391" s="280"/>
      <c r="BD391" s="280"/>
      <c r="BE391" s="280"/>
      <c r="BF391" s="280"/>
      <c r="BG391" s="280"/>
      <c r="BH391" s="380"/>
      <c r="BI391" s="434"/>
      <c r="BJ391" s="434"/>
      <c r="BK391" s="434"/>
      <c r="BL391" s="434"/>
      <c r="BM391" s="434"/>
      <c r="BN391" s="434"/>
      <c r="BO391" s="434"/>
      <c r="BP391" s="280"/>
      <c r="BQ391" s="280"/>
      <c r="BR391" s="434"/>
      <c r="BS391" s="37"/>
    </row>
    <row r="392" spans="1:71" s="674" customFormat="1" ht="15" hidden="1" outlineLevel="1">
      <c r="A392" s="101" t="s">
        <v>258</v>
      </c>
      <c r="B392" s="509"/>
      <c r="C392" s="1147"/>
      <c r="D392" s="1147"/>
      <c r="E392" s="1147"/>
      <c r="F392" s="1147"/>
      <c r="G392" s="1147"/>
      <c r="H392" s="426"/>
      <c r="I392" s="426"/>
      <c r="J392" s="426"/>
      <c r="K392" s="426"/>
      <c r="L392" s="1147"/>
      <c r="M392" s="426"/>
      <c r="N392" s="426"/>
      <c r="O392" s="426"/>
      <c r="P392" s="426"/>
      <c r="Q392" s="1147"/>
      <c r="R392" s="426"/>
      <c r="S392" s="426"/>
      <c r="T392" s="426"/>
      <c r="U392" s="426"/>
      <c r="V392" s="1147"/>
      <c r="W392" s="426"/>
      <c r="X392" s="426"/>
      <c r="Y392" s="426"/>
      <c r="Z392" s="426"/>
      <c r="AA392" s="1147"/>
      <c r="AB392" s="426"/>
      <c r="AC392" s="426"/>
      <c r="AD392" s="426"/>
      <c r="AE392" s="426"/>
      <c r="AF392" s="1147"/>
      <c r="AG392" s="426"/>
      <c r="AH392" s="426"/>
      <c r="AI392" s="426"/>
      <c r="AJ392" s="426"/>
      <c r="AK392" s="1147"/>
      <c r="AL392" s="426"/>
      <c r="AM392" s="426"/>
      <c r="AN392" s="426"/>
      <c r="AO392" s="426"/>
      <c r="AP392" s="1147"/>
      <c r="AQ392" s="426"/>
      <c r="AR392" s="426"/>
      <c r="AS392" s="426"/>
      <c r="AT392" s="426"/>
      <c r="AU392" s="1147"/>
      <c r="AV392" s="426"/>
      <c r="AW392" s="426"/>
      <c r="AX392" s="426"/>
      <c r="AY392" s="426"/>
      <c r="AZ392" s="1147"/>
      <c r="BA392" s="426"/>
      <c r="BB392" s="426"/>
      <c r="BC392" s="426"/>
      <c r="BD392" s="426"/>
      <c r="BE392" s="1147"/>
      <c r="BF392" s="426"/>
      <c r="BG392" s="426"/>
      <c r="BH392" s="487"/>
      <c r="BI392" s="159"/>
      <c r="BJ392" s="1148"/>
      <c r="BK392" s="159"/>
      <c r="BL392" s="159"/>
      <c r="BM392" s="159"/>
      <c r="BN392" s="159"/>
      <c r="BO392" s="1148"/>
      <c r="BP392" s="1147"/>
      <c r="BQ392" s="1147"/>
      <c r="BR392" s="1148"/>
      <c r="BS392" s="37"/>
    </row>
    <row r="393" spans="1:71" s="673" customFormat="1" ht="15" hidden="1" outlineLevel="1">
      <c r="A393" s="114" t="s">
        <v>259</v>
      </c>
      <c r="B393" s="417"/>
      <c r="C393" s="1132">
        <v>530</v>
      </c>
      <c r="D393" s="1132">
        <v>423</v>
      </c>
      <c r="E393" s="1132">
        <v>319</v>
      </c>
      <c r="F393" s="1132">
        <v>402</v>
      </c>
      <c r="G393" s="1132">
        <v>453</v>
      </c>
      <c r="H393" s="1037">
        <v>107</v>
      </c>
      <c r="I393" s="1037">
        <v>190</v>
      </c>
      <c r="J393" s="1037">
        <v>281</v>
      </c>
      <c r="K393" s="288">
        <f>L393</f>
        <v>406</v>
      </c>
      <c r="L393" s="1132">
        <v>406</v>
      </c>
      <c r="M393" s="1037">
        <v>25</v>
      </c>
      <c r="N393" s="1037">
        <v>174</v>
      </c>
      <c r="O393" s="1037">
        <v>240</v>
      </c>
      <c r="P393" s="288">
        <f>Q393</f>
        <v>370</v>
      </c>
      <c r="Q393" s="1132">
        <v>370</v>
      </c>
      <c r="R393" s="1037">
        <v>104</v>
      </c>
      <c r="S393" s="1037">
        <v>167</v>
      </c>
      <c r="T393" s="1037">
        <v>280</v>
      </c>
      <c r="U393" s="288">
        <f>V393</f>
        <v>668</v>
      </c>
      <c r="V393" s="1132">
        <v>668</v>
      </c>
      <c r="W393" s="1037">
        <v>155</v>
      </c>
      <c r="X393" s="1037">
        <v>300</v>
      </c>
      <c r="Y393" s="1037">
        <v>311</v>
      </c>
      <c r="Z393" s="288">
        <f>AA393</f>
        <v>477</v>
      </c>
      <c r="AA393" s="1132">
        <v>477</v>
      </c>
      <c r="AB393" s="1037">
        <v>141</v>
      </c>
      <c r="AC393" s="1037">
        <v>349</v>
      </c>
      <c r="AD393" s="1037">
        <v>552</v>
      </c>
      <c r="AE393" s="288">
        <f>AF393</f>
        <v>517</v>
      </c>
      <c r="AF393" s="1132">
        <v>517</v>
      </c>
      <c r="AG393" s="1037">
        <v>326</v>
      </c>
      <c r="AH393" s="1037">
        <v>535</v>
      </c>
      <c r="AI393" s="1037">
        <v>678</v>
      </c>
      <c r="AJ393" s="288">
        <f t="shared" si="958" ref="AJ393:AJ399">AK393</f>
        <v>869</v>
      </c>
      <c r="AK393" s="1132">
        <v>869</v>
      </c>
      <c r="AL393" s="1037">
        <v>-304</v>
      </c>
      <c r="AM393" s="1037">
        <v>-137</v>
      </c>
      <c r="AN393" s="1037">
        <v>27</v>
      </c>
      <c r="AO393" s="288">
        <f t="shared" si="959" ref="AO393:AO399">AP393</f>
        <v>721</v>
      </c>
      <c r="AP393" s="1132">
        <v>721</v>
      </c>
      <c r="AQ393" s="1037">
        <v>419</v>
      </c>
      <c r="AR393" s="1037">
        <v>1421</v>
      </c>
      <c r="AS393" s="1037">
        <v>1640</v>
      </c>
      <c r="AT393" s="288">
        <f t="shared" si="960" ref="AT393:AT399">AU393</f>
        <v>1995</v>
      </c>
      <c r="AU393" s="1132">
        <v>1995</v>
      </c>
      <c r="AV393" s="1037">
        <v>290</v>
      </c>
      <c r="AW393" s="1037">
        <v>457</v>
      </c>
      <c r="AX393" s="1037">
        <v>622</v>
      </c>
      <c r="AY393" s="288">
        <f t="shared" si="961" ref="AY393:AY399">AZ393</f>
        <v>898</v>
      </c>
      <c r="AZ393" s="1132">
        <v>898</v>
      </c>
      <c r="BA393" s="1037">
        <v>212</v>
      </c>
      <c r="BB393" s="1037">
        <v>412</v>
      </c>
      <c r="BC393" s="1037">
        <v>589</v>
      </c>
      <c r="BD393" s="419">
        <f t="shared" si="962" ref="BD393:BD399">BE393</f>
        <v>852</v>
      </c>
      <c r="BE393" s="1132">
        <v>852</v>
      </c>
      <c r="BF393" s="1037">
        <v>242</v>
      </c>
      <c r="BG393" s="1037">
        <v>451</v>
      </c>
      <c r="BH393" s="1038">
        <v>632</v>
      </c>
      <c r="BI393" s="171">
        <f t="shared" si="963" ref="BI393:BI399">BJ393</f>
        <v>0</v>
      </c>
      <c r="BJ393" s="1133"/>
      <c r="BK393" s="171"/>
      <c r="BL393" s="171"/>
      <c r="BM393" s="171"/>
      <c r="BN393" s="171">
        <f t="shared" si="964" ref="BN393:BN399">BO393</f>
        <v>0</v>
      </c>
      <c r="BO393" s="1133"/>
      <c r="BP393" s="1131"/>
      <c r="BQ393" s="1131"/>
      <c r="BR393" s="1133"/>
      <c r="BS393" s="32"/>
    </row>
    <row r="394" spans="1:71" s="673" customFormat="1" ht="15" hidden="1" outlineLevel="1">
      <c r="A394" s="114" t="s">
        <v>260</v>
      </c>
      <c r="B394" s="417"/>
      <c r="C394" s="1131"/>
      <c r="D394" s="1131"/>
      <c r="E394" s="1131"/>
      <c r="F394" s="1131"/>
      <c r="G394" s="1131"/>
      <c r="H394" s="419"/>
      <c r="I394" s="419"/>
      <c r="J394" s="419"/>
      <c r="K394" s="419"/>
      <c r="L394" s="1131"/>
      <c r="M394" s="419"/>
      <c r="N394" s="419"/>
      <c r="O394" s="419"/>
      <c r="P394" s="419"/>
      <c r="Q394" s="1131"/>
      <c r="R394" s="419"/>
      <c r="S394" s="419"/>
      <c r="T394" s="419"/>
      <c r="U394" s="419"/>
      <c r="V394" s="1131"/>
      <c r="W394" s="419"/>
      <c r="X394" s="419"/>
      <c r="Y394" s="419"/>
      <c r="Z394" s="419"/>
      <c r="AA394" s="1131"/>
      <c r="AB394" s="419"/>
      <c r="AC394" s="419"/>
      <c r="AD394" s="419"/>
      <c r="AE394" s="419"/>
      <c r="AF394" s="1131"/>
      <c r="AG394" s="419"/>
      <c r="AH394" s="419"/>
      <c r="AI394" s="419"/>
      <c r="AJ394" s="288">
        <f t="shared" si="958"/>
        <v>0</v>
      </c>
      <c r="AK394" s="1131"/>
      <c r="AL394" s="419"/>
      <c r="AM394" s="419"/>
      <c r="AN394" s="419"/>
      <c r="AO394" s="288">
        <f t="shared" si="959"/>
        <v>0</v>
      </c>
      <c r="AP394" s="1131"/>
      <c r="AQ394" s="419"/>
      <c r="AR394" s="419"/>
      <c r="AS394" s="419"/>
      <c r="AT394" s="288">
        <f t="shared" si="960"/>
        <v>0</v>
      </c>
      <c r="AU394" s="1131"/>
      <c r="AV394" s="419"/>
      <c r="AW394" s="419"/>
      <c r="AX394" s="419"/>
      <c r="AY394" s="288">
        <f t="shared" si="961"/>
        <v>0</v>
      </c>
      <c r="AZ394" s="1131"/>
      <c r="BA394" s="419"/>
      <c r="BB394" s="419"/>
      <c r="BC394" s="419"/>
      <c r="BD394" s="419">
        <f t="shared" si="962"/>
        <v>0</v>
      </c>
      <c r="BE394" s="1131"/>
      <c r="BF394" s="419"/>
      <c r="BG394" s="419"/>
      <c r="BH394" s="464"/>
      <c r="BI394" s="171">
        <f t="shared" si="963"/>
        <v>0</v>
      </c>
      <c r="BJ394" s="1133"/>
      <c r="BK394" s="171"/>
      <c r="BL394" s="171"/>
      <c r="BM394" s="171"/>
      <c r="BN394" s="171">
        <f t="shared" si="964"/>
        <v>0</v>
      </c>
      <c r="BO394" s="1133"/>
      <c r="BP394" s="1131"/>
      <c r="BQ394" s="1131"/>
      <c r="BR394" s="1133"/>
      <c r="BS394" s="32"/>
    </row>
    <row r="395" spans="1:71" s="673" customFormat="1" ht="15" hidden="1" outlineLevel="1">
      <c r="A395" s="114" t="s">
        <v>261</v>
      </c>
      <c r="B395" s="417"/>
      <c r="C395" s="1132">
        <v>198</v>
      </c>
      <c r="D395" s="1132">
        <v>214</v>
      </c>
      <c r="E395" s="1132">
        <v>180</v>
      </c>
      <c r="F395" s="1132">
        <v>257</v>
      </c>
      <c r="G395" s="1132">
        <v>142</v>
      </c>
      <c r="H395" s="1037">
        <v>27</v>
      </c>
      <c r="I395" s="1037">
        <v>57</v>
      </c>
      <c r="J395" s="1037">
        <v>95</v>
      </c>
      <c r="K395" s="288">
        <f>L395</f>
        <v>144</v>
      </c>
      <c r="L395" s="1132">
        <v>144</v>
      </c>
      <c r="M395" s="1037">
        <v>31</v>
      </c>
      <c r="N395" s="1037">
        <v>84</v>
      </c>
      <c r="O395" s="1037">
        <v>118</v>
      </c>
      <c r="P395" s="288">
        <f>Q395</f>
        <v>134</v>
      </c>
      <c r="Q395" s="1132">
        <v>134</v>
      </c>
      <c r="R395" s="1037">
        <v>28</v>
      </c>
      <c r="S395" s="1037">
        <v>53</v>
      </c>
      <c r="T395" s="1037">
        <v>91</v>
      </c>
      <c r="U395" s="288">
        <f>V395</f>
        <v>134</v>
      </c>
      <c r="V395" s="1132">
        <v>134</v>
      </c>
      <c r="W395" s="1037">
        <v>38</v>
      </c>
      <c r="X395" s="1037">
        <v>69</v>
      </c>
      <c r="Y395" s="1037">
        <v>105</v>
      </c>
      <c r="Z395" s="288">
        <f>AA395</f>
        <v>107</v>
      </c>
      <c r="AA395" s="1132">
        <v>107</v>
      </c>
      <c r="AB395" s="1037">
        <v>71</v>
      </c>
      <c r="AC395" s="1037">
        <v>106</v>
      </c>
      <c r="AD395" s="1037">
        <v>163</v>
      </c>
      <c r="AE395" s="288">
        <f>AF395</f>
        <v>210</v>
      </c>
      <c r="AF395" s="1132">
        <v>210</v>
      </c>
      <c r="AG395" s="1037">
        <v>34</v>
      </c>
      <c r="AH395" s="1037">
        <v>72</v>
      </c>
      <c r="AI395" s="1037">
        <v>195</v>
      </c>
      <c r="AJ395" s="288">
        <f t="shared" si="958"/>
        <v>259</v>
      </c>
      <c r="AK395" s="1132">
        <v>259</v>
      </c>
      <c r="AL395" s="1037">
        <v>113</v>
      </c>
      <c r="AM395" s="1037">
        <v>79</v>
      </c>
      <c r="AN395" s="1037">
        <v>248</v>
      </c>
      <c r="AO395" s="288">
        <f t="shared" si="959"/>
        <v>299</v>
      </c>
      <c r="AP395" s="1132">
        <v>299</v>
      </c>
      <c r="AQ395" s="1037">
        <v>99</v>
      </c>
      <c r="AR395" s="1037">
        <v>133</v>
      </c>
      <c r="AS395" s="1037">
        <v>160</v>
      </c>
      <c r="AT395" s="288">
        <f t="shared" si="960"/>
        <v>187</v>
      </c>
      <c r="AU395" s="1132">
        <v>187</v>
      </c>
      <c r="AV395" s="1037">
        <v>26</v>
      </c>
      <c r="AW395" s="1037">
        <v>53</v>
      </c>
      <c r="AX395" s="1037">
        <v>78</v>
      </c>
      <c r="AY395" s="288">
        <f t="shared" si="961"/>
        <v>100</v>
      </c>
      <c r="AZ395" s="1132">
        <v>100</v>
      </c>
      <c r="BA395" s="1037">
        <v>20</v>
      </c>
      <c r="BB395" s="1037">
        <v>39</v>
      </c>
      <c r="BC395" s="1037">
        <v>60</v>
      </c>
      <c r="BD395" s="419">
        <f t="shared" si="962"/>
        <v>78</v>
      </c>
      <c r="BE395" s="1132">
        <v>78</v>
      </c>
      <c r="BF395" s="1037">
        <v>20</v>
      </c>
      <c r="BG395" s="1037">
        <v>39</v>
      </c>
      <c r="BH395" s="1038">
        <v>60</v>
      </c>
      <c r="BI395" s="171">
        <f t="shared" si="963"/>
        <v>0</v>
      </c>
      <c r="BJ395" s="1133"/>
      <c r="BK395" s="171"/>
      <c r="BL395" s="171"/>
      <c r="BM395" s="171"/>
      <c r="BN395" s="171">
        <f t="shared" si="964"/>
        <v>0</v>
      </c>
      <c r="BO395" s="1133"/>
      <c r="BP395" s="1131"/>
      <c r="BQ395" s="1131"/>
      <c r="BR395" s="1133"/>
      <c r="BS395" s="32"/>
    </row>
    <row r="396" spans="1:71" s="673" customFormat="1" ht="15" hidden="1" outlineLevel="1">
      <c r="A396" s="114" t="s">
        <v>183</v>
      </c>
      <c r="B396" s="417"/>
      <c r="C396" s="1132">
        <v>435</v>
      </c>
      <c r="D396" s="1132">
        <v>444</v>
      </c>
      <c r="E396" s="1132">
        <v>510</v>
      </c>
      <c r="F396" s="1132">
        <v>541</v>
      </c>
      <c r="G396" s="1132">
        <v>531</v>
      </c>
      <c r="H396" s="1037">
        <v>168</v>
      </c>
      <c r="I396" s="1037">
        <v>334</v>
      </c>
      <c r="J396" s="1037">
        <v>491</v>
      </c>
      <c r="K396" s="288">
        <f>L396</f>
        <v>648</v>
      </c>
      <c r="L396" s="1132">
        <v>648</v>
      </c>
      <c r="M396" s="1037">
        <v>184</v>
      </c>
      <c r="N396" s="1037">
        <v>335</v>
      </c>
      <c r="O396" s="1037">
        <v>543</v>
      </c>
      <c r="P396" s="288">
        <f>Q396</f>
        <v>732</v>
      </c>
      <c r="Q396" s="1132">
        <v>732</v>
      </c>
      <c r="R396" s="1037">
        <v>228</v>
      </c>
      <c r="S396" s="1037">
        <v>451</v>
      </c>
      <c r="T396" s="1037">
        <v>640</v>
      </c>
      <c r="U396" s="288">
        <f>V396</f>
        <v>800</v>
      </c>
      <c r="V396" s="1132">
        <v>800</v>
      </c>
      <c r="W396" s="1037">
        <v>196</v>
      </c>
      <c r="X396" s="1037">
        <v>420</v>
      </c>
      <c r="Y396" s="1037">
        <v>635</v>
      </c>
      <c r="Z396" s="288">
        <f>AA396</f>
        <v>892</v>
      </c>
      <c r="AA396" s="1132">
        <v>892</v>
      </c>
      <c r="AB396" s="1037">
        <v>182</v>
      </c>
      <c r="AC396" s="1037">
        <v>442</v>
      </c>
      <c r="AD396" s="1037">
        <v>664</v>
      </c>
      <c r="AE396" s="288">
        <f>AF396</f>
        <v>998</v>
      </c>
      <c r="AF396" s="1132">
        <v>998</v>
      </c>
      <c r="AG396" s="1037">
        <v>311</v>
      </c>
      <c r="AH396" s="1037">
        <v>650</v>
      </c>
      <c r="AI396" s="1037">
        <v>900</v>
      </c>
      <c r="AJ396" s="288">
        <f t="shared" si="958"/>
        <v>1151</v>
      </c>
      <c r="AK396" s="1132">
        <v>1151</v>
      </c>
      <c r="AL396" s="1037">
        <v>276</v>
      </c>
      <c r="AM396" s="1037">
        <v>702</v>
      </c>
      <c r="AN396" s="1037">
        <v>905</v>
      </c>
      <c r="AO396" s="288">
        <f t="shared" si="959"/>
        <v>1192</v>
      </c>
      <c r="AP396" s="1132">
        <v>1192</v>
      </c>
      <c r="AQ396" s="1037">
        <v>161</v>
      </c>
      <c r="AR396" s="1037">
        <v>377</v>
      </c>
      <c r="AS396" s="1037">
        <v>377</v>
      </c>
      <c r="AT396" s="288">
        <f t="shared" si="960"/>
        <v>377</v>
      </c>
      <c r="AU396" s="1132">
        <v>377</v>
      </c>
      <c r="AV396" s="419"/>
      <c r="AW396" s="419"/>
      <c r="AX396" s="419"/>
      <c r="AY396" s="288">
        <f t="shared" si="961"/>
        <v>0</v>
      </c>
      <c r="AZ396" s="1132">
        <v>0</v>
      </c>
      <c r="BA396" s="419"/>
      <c r="BB396" s="419"/>
      <c r="BC396" s="419"/>
      <c r="BD396" s="419">
        <f t="shared" si="962"/>
        <v>0</v>
      </c>
      <c r="BE396" s="1131"/>
      <c r="BF396" s="419"/>
      <c r="BG396" s="419"/>
      <c r="BH396" s="464"/>
      <c r="BI396" s="171">
        <f t="shared" si="963"/>
        <v>0</v>
      </c>
      <c r="BJ396" s="1133"/>
      <c r="BK396" s="171"/>
      <c r="BL396" s="171"/>
      <c r="BM396" s="171"/>
      <c r="BN396" s="171">
        <f t="shared" si="964"/>
        <v>0</v>
      </c>
      <c r="BO396" s="1133"/>
      <c r="BP396" s="1131"/>
      <c r="BQ396" s="1131"/>
      <c r="BR396" s="1133"/>
      <c r="BS396" s="32"/>
    </row>
    <row r="397" spans="1:71" s="673" customFormat="1" ht="15" hidden="1" outlineLevel="1">
      <c r="A397" s="114" t="s">
        <v>262</v>
      </c>
      <c r="B397" s="417"/>
      <c r="C397" s="1132">
        <v>-34</v>
      </c>
      <c r="D397" s="1132">
        <v>-92</v>
      </c>
      <c r="E397" s="1132">
        <v>-74</v>
      </c>
      <c r="F397" s="1132">
        <v>-367</v>
      </c>
      <c r="G397" s="1132">
        <v>-230</v>
      </c>
      <c r="H397" s="1037">
        <v>-19</v>
      </c>
      <c r="I397" s="1037">
        <v>-32</v>
      </c>
      <c r="J397" s="1037">
        <v>-48</v>
      </c>
      <c r="K397" s="288">
        <f>L397</f>
        <v>-58</v>
      </c>
      <c r="L397" s="1132">
        <v>-58</v>
      </c>
      <c r="M397" s="1037">
        <v>133</v>
      </c>
      <c r="N397" s="1037">
        <v>81</v>
      </c>
      <c r="O397" s="1037">
        <v>90</v>
      </c>
      <c r="P397" s="288">
        <f>Q397</f>
        <v>100</v>
      </c>
      <c r="Q397" s="1132">
        <v>100</v>
      </c>
      <c r="R397" s="1037">
        <v>15</v>
      </c>
      <c r="S397" s="1037">
        <v>-3</v>
      </c>
      <c r="T397" s="1037">
        <v>-6</v>
      </c>
      <c r="U397" s="288">
        <f>V397</f>
        <v>-61</v>
      </c>
      <c r="V397" s="1132">
        <v>-61</v>
      </c>
      <c r="W397" s="1037">
        <v>-17</v>
      </c>
      <c r="X397" s="1037">
        <v>-28</v>
      </c>
      <c r="Y397" s="1037">
        <v>-18</v>
      </c>
      <c r="Z397" s="288">
        <f>AA397</f>
        <v>-23</v>
      </c>
      <c r="AA397" s="1132">
        <v>-23</v>
      </c>
      <c r="AB397" s="1037">
        <v>93</v>
      </c>
      <c r="AC397" s="1037">
        <v>64</v>
      </c>
      <c r="AD397" s="1037">
        <v>28</v>
      </c>
      <c r="AE397" s="288">
        <f>AF397</f>
        <v>265</v>
      </c>
      <c r="AF397" s="1132">
        <v>265</v>
      </c>
      <c r="AG397" s="1037">
        <v>-184</v>
      </c>
      <c r="AH397" s="1037">
        <v>-241</v>
      </c>
      <c r="AI397" s="1037">
        <v>-223</v>
      </c>
      <c r="AJ397" s="288">
        <f t="shared" si="958"/>
        <v>-288</v>
      </c>
      <c r="AK397" s="1132">
        <v>-288</v>
      </c>
      <c r="AL397" s="1037">
        <v>550</v>
      </c>
      <c r="AM397" s="1037">
        <v>346</v>
      </c>
      <c r="AN397" s="1037">
        <v>332</v>
      </c>
      <c r="AO397" s="288">
        <f t="shared" si="959"/>
        <v>-313</v>
      </c>
      <c r="AP397" s="1132">
        <v>-313</v>
      </c>
      <c r="AQ397" s="1037">
        <v>-158</v>
      </c>
      <c r="AR397" s="1037">
        <v>-1141</v>
      </c>
      <c r="AS397" s="1037">
        <v>-1111</v>
      </c>
      <c r="AT397" s="288">
        <f t="shared" si="960"/>
        <v>-1131</v>
      </c>
      <c r="AU397" s="1132">
        <v>-1131</v>
      </c>
      <c r="AV397" s="1037">
        <v>15</v>
      </c>
      <c r="AW397" s="1037">
        <v>105</v>
      </c>
      <c r="AX397" s="1037">
        <v>136</v>
      </c>
      <c r="AY397" s="288">
        <f t="shared" si="961"/>
        <v>110</v>
      </c>
      <c r="AZ397" s="1132">
        <v>110</v>
      </c>
      <c r="BA397" s="1037">
        <v>45</v>
      </c>
      <c r="BB397" s="1037">
        <v>46</v>
      </c>
      <c r="BC397" s="1037">
        <v>69</v>
      </c>
      <c r="BD397" s="419">
        <f t="shared" si="962"/>
        <v>38</v>
      </c>
      <c r="BE397" s="1132">
        <v>38</v>
      </c>
      <c r="BF397" s="1037">
        <v>-14</v>
      </c>
      <c r="BG397" s="1037">
        <v>-12</v>
      </c>
      <c r="BH397" s="1038">
        <v>-10</v>
      </c>
      <c r="BI397" s="171">
        <f t="shared" si="963"/>
        <v>0</v>
      </c>
      <c r="BJ397" s="1133"/>
      <c r="BK397" s="171"/>
      <c r="BL397" s="171"/>
      <c r="BM397" s="171"/>
      <c r="BN397" s="171">
        <f t="shared" si="964"/>
        <v>0</v>
      </c>
      <c r="BO397" s="1133"/>
      <c r="BP397" s="1131"/>
      <c r="BQ397" s="1131"/>
      <c r="BR397" s="1133"/>
      <c r="BS397" s="32"/>
    </row>
    <row r="398" spans="1:71" s="673" customFormat="1" ht="15" hidden="1" outlineLevel="1">
      <c r="A398" s="114" t="s">
        <v>263</v>
      </c>
      <c r="B398" s="417"/>
      <c r="C398" s="1132">
        <v>-51</v>
      </c>
      <c r="D398" s="1132">
        <v>-11</v>
      </c>
      <c r="E398" s="1132">
        <v>-45</v>
      </c>
      <c r="F398" s="1132">
        <v>17</v>
      </c>
      <c r="G398" s="1132">
        <v>2</v>
      </c>
      <c r="H398" s="1037">
        <v>6</v>
      </c>
      <c r="I398" s="1037">
        <v>-33</v>
      </c>
      <c r="J398" s="1037">
        <v>-39</v>
      </c>
      <c r="K398" s="288">
        <f>L398</f>
        <v>-109</v>
      </c>
      <c r="L398" s="1132">
        <v>-109</v>
      </c>
      <c r="M398" s="1037">
        <v>-4</v>
      </c>
      <c r="N398" s="1037">
        <v>-5</v>
      </c>
      <c r="O398" s="1037">
        <v>-9</v>
      </c>
      <c r="P398" s="288">
        <f>Q398</f>
        <v>10</v>
      </c>
      <c r="Q398" s="1132">
        <v>10</v>
      </c>
      <c r="R398" s="1037">
        <v>71</v>
      </c>
      <c r="S398" s="1037">
        <v>85</v>
      </c>
      <c r="T398" s="1037">
        <v>73</v>
      </c>
      <c r="U398" s="288">
        <f>V398</f>
        <v>79</v>
      </c>
      <c r="V398" s="1132">
        <v>79</v>
      </c>
      <c r="W398" s="1037">
        <v>3</v>
      </c>
      <c r="X398" s="1037">
        <v>31</v>
      </c>
      <c r="Y398" s="1037">
        <v>5</v>
      </c>
      <c r="Z398" s="288">
        <f>AA398</f>
        <v>17</v>
      </c>
      <c r="AA398" s="1132">
        <v>17</v>
      </c>
      <c r="AB398" s="1037">
        <v>61</v>
      </c>
      <c r="AC398" s="1037">
        <v>83</v>
      </c>
      <c r="AD398" s="1037">
        <v>116</v>
      </c>
      <c r="AE398" s="288">
        <f>AF398</f>
        <v>111</v>
      </c>
      <c r="AF398" s="1132">
        <v>111</v>
      </c>
      <c r="AG398" s="1037">
        <v>1</v>
      </c>
      <c r="AH398" s="419"/>
      <c r="AI398" s="1037">
        <v>-2</v>
      </c>
      <c r="AJ398" s="288">
        <f t="shared" si="958"/>
        <v>-5</v>
      </c>
      <c r="AK398" s="1132">
        <v>-5</v>
      </c>
      <c r="AL398" s="1037">
        <v>8</v>
      </c>
      <c r="AM398" s="1037">
        <v>11</v>
      </c>
      <c r="AN398" s="1037">
        <v>18</v>
      </c>
      <c r="AO398" s="288">
        <f t="shared" si="959"/>
        <v>20</v>
      </c>
      <c r="AP398" s="1132">
        <v>20</v>
      </c>
      <c r="AQ398" s="1037">
        <v>-3</v>
      </c>
      <c r="AR398" s="1037">
        <v>-1</v>
      </c>
      <c r="AS398" s="1037">
        <v>-6</v>
      </c>
      <c r="AT398" s="288">
        <f t="shared" si="960"/>
        <v>-5</v>
      </c>
      <c r="AU398" s="1132">
        <v>-5</v>
      </c>
      <c r="AV398" s="1037">
        <v>-1</v>
      </c>
      <c r="AW398" s="419"/>
      <c r="AX398" s="1037">
        <v>-2</v>
      </c>
      <c r="AY398" s="288">
        <f t="shared" si="961"/>
        <v>-2</v>
      </c>
      <c r="AZ398" s="1132">
        <v>-2</v>
      </c>
      <c r="BA398" s="1037">
        <v>-3</v>
      </c>
      <c r="BB398" s="1037">
        <v>-2</v>
      </c>
      <c r="BC398" s="1037">
        <v>-3</v>
      </c>
      <c r="BD398" s="419">
        <f t="shared" si="962"/>
        <v>-5</v>
      </c>
      <c r="BE398" s="1132">
        <v>-5</v>
      </c>
      <c r="BF398" s="1037">
        <v>0</v>
      </c>
      <c r="BG398" s="1037">
        <v>-12</v>
      </c>
      <c r="BH398" s="1038">
        <v>-25</v>
      </c>
      <c r="BI398" s="171">
        <f t="shared" si="963"/>
        <v>0</v>
      </c>
      <c r="BJ398" s="1133"/>
      <c r="BK398" s="171"/>
      <c r="BL398" s="171"/>
      <c r="BM398" s="171"/>
      <c r="BN398" s="171">
        <f t="shared" si="964"/>
        <v>0</v>
      </c>
      <c r="BO398" s="1133"/>
      <c r="BP398" s="1131"/>
      <c r="BQ398" s="1131"/>
      <c r="BR398" s="1133"/>
      <c r="BS398" s="32"/>
    </row>
    <row r="399" spans="1:71" s="673" customFormat="1" ht="15" hidden="1" outlineLevel="1">
      <c r="A399" s="114" t="s">
        <v>264</v>
      </c>
      <c r="B399" s="417"/>
      <c r="C399" s="1132">
        <v>-172</v>
      </c>
      <c r="D399" s="1132">
        <v>-211</v>
      </c>
      <c r="E399" s="1132">
        <v>-239</v>
      </c>
      <c r="F399" s="1132">
        <v>-212</v>
      </c>
      <c r="G399" s="1132">
        <v>-222</v>
      </c>
      <c r="H399" s="1037">
        <v>-50</v>
      </c>
      <c r="I399" s="1037">
        <v>-102</v>
      </c>
      <c r="J399" s="1037">
        <v>-144</v>
      </c>
      <c r="K399" s="288">
        <f>L399</f>
        <v>-198</v>
      </c>
      <c r="L399" s="1132">
        <v>-198</v>
      </c>
      <c r="M399" s="1037">
        <v>-44</v>
      </c>
      <c r="N399" s="1037">
        <v>-90</v>
      </c>
      <c r="O399" s="1037">
        <v>-164</v>
      </c>
      <c r="P399" s="288">
        <f>Q399</f>
        <v>-224</v>
      </c>
      <c r="Q399" s="1132">
        <v>-224</v>
      </c>
      <c r="R399" s="1037">
        <v>-68</v>
      </c>
      <c r="S399" s="1037">
        <v>-124</v>
      </c>
      <c r="T399" s="1037">
        <v>-172</v>
      </c>
      <c r="U399" s="288">
        <f>V399</f>
        <v>-230</v>
      </c>
      <c r="V399" s="1132">
        <v>-230</v>
      </c>
      <c r="W399" s="1037">
        <v>-67</v>
      </c>
      <c r="X399" s="1037">
        <v>-133</v>
      </c>
      <c r="Y399" s="1037">
        <v>-177</v>
      </c>
      <c r="Z399" s="288">
        <f>AA399</f>
        <v>-225</v>
      </c>
      <c r="AA399" s="1132">
        <v>-225</v>
      </c>
      <c r="AB399" s="1037">
        <v>-57</v>
      </c>
      <c r="AC399" s="1037">
        <v>-127</v>
      </c>
      <c r="AD399" s="1037">
        <v>-192</v>
      </c>
      <c r="AE399" s="288">
        <f>AF399</f>
        <v>-263</v>
      </c>
      <c r="AF399" s="1132">
        <v>-263</v>
      </c>
      <c r="AG399" s="1040">
        <v>-64</v>
      </c>
      <c r="AH399" s="1037">
        <v>-120</v>
      </c>
      <c r="AI399" s="1037">
        <v>-163</v>
      </c>
      <c r="AJ399" s="288">
        <f t="shared" si="958"/>
        <v>-206</v>
      </c>
      <c r="AK399" s="1132">
        <v>-206</v>
      </c>
      <c r="AL399" s="1040">
        <v>-49</v>
      </c>
      <c r="AM399" s="1037">
        <v>-79</v>
      </c>
      <c r="AN399" s="1037">
        <v>-112</v>
      </c>
      <c r="AO399" s="288">
        <f t="shared" si="959"/>
        <v>-154</v>
      </c>
      <c r="AP399" s="1132">
        <v>-154</v>
      </c>
      <c r="AQ399" s="1040">
        <v>-49</v>
      </c>
      <c r="AR399" s="1037">
        <v>-98</v>
      </c>
      <c r="AS399" s="1037">
        <v>-98</v>
      </c>
      <c r="AT399" s="288">
        <f t="shared" si="960"/>
        <v>-98</v>
      </c>
      <c r="AU399" s="1132">
        <v>-98</v>
      </c>
      <c r="AV399" s="363"/>
      <c r="AW399" s="419"/>
      <c r="AX399" s="419"/>
      <c r="AY399" s="288">
        <f t="shared" si="961"/>
        <v>0</v>
      </c>
      <c r="AZ399" s="1132">
        <v>0</v>
      </c>
      <c r="BA399" s="419"/>
      <c r="BB399" s="419"/>
      <c r="BC399" s="419"/>
      <c r="BD399" s="419">
        <f t="shared" si="962"/>
        <v>0</v>
      </c>
      <c r="BE399" s="1131"/>
      <c r="BF399" s="419"/>
      <c r="BG399" s="419"/>
      <c r="BH399" s="464"/>
      <c r="BI399" s="171">
        <f t="shared" si="963"/>
        <v>0</v>
      </c>
      <c r="BJ399" s="1133"/>
      <c r="BK399" s="171"/>
      <c r="BL399" s="171"/>
      <c r="BM399" s="171"/>
      <c r="BN399" s="171">
        <f t="shared" si="964"/>
        <v>0</v>
      </c>
      <c r="BO399" s="1133"/>
      <c r="BP399" s="1131"/>
      <c r="BQ399" s="1131"/>
      <c r="BR399" s="1133"/>
      <c r="BS399" s="32"/>
    </row>
    <row r="400" spans="1:71" s="674" customFormat="1" ht="15" hidden="1" outlineLevel="1">
      <c r="A400" s="100" t="s">
        <v>265</v>
      </c>
      <c r="B400" s="516"/>
      <c r="C400" s="1138">
        <f t="shared" si="965" ref="C400:AU400">SUM(C393:C399)</f>
        <v>906</v>
      </c>
      <c r="D400" s="1138">
        <f t="shared" si="965"/>
        <v>767</v>
      </c>
      <c r="E400" s="1138">
        <f t="shared" si="965"/>
        <v>651</v>
      </c>
      <c r="F400" s="1138">
        <f t="shared" si="965"/>
        <v>638</v>
      </c>
      <c r="G400" s="1138">
        <f t="shared" si="965"/>
        <v>676</v>
      </c>
      <c r="H400" s="96">
        <f t="shared" si="965"/>
        <v>239</v>
      </c>
      <c r="I400" s="96">
        <f t="shared" si="965"/>
        <v>414</v>
      </c>
      <c r="J400" s="96">
        <f t="shared" si="965"/>
        <v>636</v>
      </c>
      <c r="K400" s="96">
        <f t="shared" si="965"/>
        <v>833</v>
      </c>
      <c r="L400" s="1138">
        <f t="shared" si="965"/>
        <v>833</v>
      </c>
      <c r="M400" s="96">
        <f t="shared" si="965"/>
        <v>325</v>
      </c>
      <c r="N400" s="96">
        <f t="shared" si="965"/>
        <v>579</v>
      </c>
      <c r="O400" s="96">
        <f t="shared" si="965"/>
        <v>818</v>
      </c>
      <c r="P400" s="96">
        <f t="shared" si="965"/>
        <v>1122</v>
      </c>
      <c r="Q400" s="1138">
        <f t="shared" si="965"/>
        <v>1122</v>
      </c>
      <c r="R400" s="96">
        <f t="shared" si="965"/>
        <v>378</v>
      </c>
      <c r="S400" s="96">
        <f t="shared" si="965"/>
        <v>629</v>
      </c>
      <c r="T400" s="96">
        <f t="shared" si="965"/>
        <v>906</v>
      </c>
      <c r="U400" s="96">
        <f t="shared" si="965"/>
        <v>1390</v>
      </c>
      <c r="V400" s="1138">
        <f t="shared" si="965"/>
        <v>1390</v>
      </c>
      <c r="W400" s="96">
        <f t="shared" si="965"/>
        <v>308</v>
      </c>
      <c r="X400" s="96">
        <f t="shared" si="965"/>
        <v>659</v>
      </c>
      <c r="Y400" s="96">
        <f t="shared" si="965"/>
        <v>861</v>
      </c>
      <c r="Z400" s="96">
        <f t="shared" si="965"/>
        <v>1245</v>
      </c>
      <c r="AA400" s="1138">
        <f t="shared" si="965"/>
        <v>1245</v>
      </c>
      <c r="AB400" s="96">
        <f t="shared" si="965"/>
        <v>491</v>
      </c>
      <c r="AC400" s="96">
        <f t="shared" si="965"/>
        <v>917</v>
      </c>
      <c r="AD400" s="96">
        <f t="shared" si="965"/>
        <v>1331</v>
      </c>
      <c r="AE400" s="96">
        <f t="shared" si="965"/>
        <v>1838</v>
      </c>
      <c r="AF400" s="1138">
        <f t="shared" si="965"/>
        <v>1838</v>
      </c>
      <c r="AG400" s="96">
        <f t="shared" si="965"/>
        <v>424</v>
      </c>
      <c r="AH400" s="96">
        <f t="shared" si="965"/>
        <v>896</v>
      </c>
      <c r="AI400" s="96">
        <f t="shared" si="965"/>
        <v>1385</v>
      </c>
      <c r="AJ400" s="96">
        <f t="shared" si="965"/>
        <v>1780</v>
      </c>
      <c r="AK400" s="1138">
        <f t="shared" si="965"/>
        <v>1780</v>
      </c>
      <c r="AL400" s="96">
        <f t="shared" si="966" ref="AL400:AQ400">SUM(AL393:AL399)</f>
        <v>594</v>
      </c>
      <c r="AM400" s="96">
        <f t="shared" si="966"/>
        <v>922</v>
      </c>
      <c r="AN400" s="96">
        <f t="shared" si="966"/>
        <v>1418</v>
      </c>
      <c r="AO400" s="96">
        <f t="shared" si="966"/>
        <v>1765</v>
      </c>
      <c r="AP400" s="1138">
        <f t="shared" si="966"/>
        <v>1765</v>
      </c>
      <c r="AQ400" s="96">
        <f t="shared" si="966"/>
        <v>469</v>
      </c>
      <c r="AR400" s="96">
        <f t="shared" si="965"/>
        <v>691</v>
      </c>
      <c r="AS400" s="96">
        <f t="shared" si="965"/>
        <v>962</v>
      </c>
      <c r="AT400" s="96">
        <f t="shared" si="965"/>
        <v>1325</v>
      </c>
      <c r="AU400" s="1138">
        <f t="shared" si="965"/>
        <v>1325</v>
      </c>
      <c r="AV400" s="96">
        <f>SUM(AV393:AV399)</f>
        <v>330</v>
      </c>
      <c r="AW400" s="96">
        <f>SUM(AW393:AW399)</f>
        <v>615</v>
      </c>
      <c r="AX400" s="96">
        <f>SUM(AX393:AX399)</f>
        <v>834</v>
      </c>
      <c r="AY400" s="96">
        <f>SUM(AY393:AY399)</f>
        <v>1106</v>
      </c>
      <c r="AZ400" s="1138">
        <f>SUM(AZ393:AZ399)</f>
        <v>1106</v>
      </c>
      <c r="BA400" s="596">
        <f t="shared" si="967" ref="BA400:BJ400">SUM(BA393:BA399)</f>
        <v>274</v>
      </c>
      <c r="BB400" s="596">
        <f t="shared" si="967"/>
        <v>495</v>
      </c>
      <c r="BC400" s="96">
        <f>SUM(BC393:BC399)</f>
        <v>715</v>
      </c>
      <c r="BD400" s="596">
        <f t="shared" si="967"/>
        <v>963</v>
      </c>
      <c r="BE400" s="1138">
        <f t="shared" si="967"/>
        <v>963</v>
      </c>
      <c r="BF400" s="596">
        <f>SUM(BF393:BF399)</f>
        <v>248</v>
      </c>
      <c r="BG400" s="596">
        <f>SUM(BG393:BG399)</f>
        <v>466</v>
      </c>
      <c r="BH400" s="874">
        <f>SUM(BH393:BH399)</f>
        <v>657</v>
      </c>
      <c r="BI400" s="596">
        <f>SUM(BI393:BI399)</f>
        <v>0</v>
      </c>
      <c r="BJ400" s="1139">
        <f t="shared" si="967"/>
        <v>0</v>
      </c>
      <c r="BK400" s="596">
        <f t="shared" si="968" ref="BK400:BR400">SUM(BK393:BK399)</f>
        <v>0</v>
      </c>
      <c r="BL400" s="596">
        <f t="shared" si="968"/>
        <v>0</v>
      </c>
      <c r="BM400" s="596">
        <f t="shared" si="968"/>
        <v>0</v>
      </c>
      <c r="BN400" s="596">
        <f t="shared" si="968"/>
        <v>0</v>
      </c>
      <c r="BO400" s="1139">
        <f t="shared" si="968"/>
        <v>0</v>
      </c>
      <c r="BP400" s="1139">
        <f t="shared" si="968"/>
        <v>0</v>
      </c>
      <c r="BQ400" s="1139">
        <f t="shared" si="968"/>
        <v>0</v>
      </c>
      <c r="BR400" s="1139">
        <f t="shared" si="968"/>
        <v>0</v>
      </c>
      <c r="BS400" s="37"/>
    </row>
    <row r="401" spans="1:71" s="673" customFormat="1" ht="15" hidden="1" outlineLevel="1">
      <c r="A401" s="114" t="s">
        <v>266</v>
      </c>
      <c r="B401" s="417"/>
      <c r="C401" s="1132">
        <v>352</v>
      </c>
      <c r="D401" s="1132">
        <v>555</v>
      </c>
      <c r="E401" s="1132">
        <v>-228</v>
      </c>
      <c r="F401" s="1132">
        <v>-495</v>
      </c>
      <c r="G401" s="1132">
        <v>176</v>
      </c>
      <c r="H401" s="1037">
        <v>459</v>
      </c>
      <c r="I401" s="1037">
        <v>283</v>
      </c>
      <c r="J401" s="1037">
        <v>-459</v>
      </c>
      <c r="K401" s="288">
        <f t="shared" si="969" ref="K401:K407">L401</f>
        <v>-199</v>
      </c>
      <c r="L401" s="1132">
        <v>-199</v>
      </c>
      <c r="M401" s="1037">
        <v>483</v>
      </c>
      <c r="N401" s="1037">
        <v>314</v>
      </c>
      <c r="O401" s="1037">
        <v>-468</v>
      </c>
      <c r="P401" s="288">
        <f t="shared" si="970" ref="P401:P407">Q401</f>
        <v>-10</v>
      </c>
      <c r="Q401" s="1132">
        <v>-10</v>
      </c>
      <c r="R401" s="1037">
        <v>197</v>
      </c>
      <c r="S401" s="1037">
        <v>42</v>
      </c>
      <c r="T401" s="1037">
        <v>-972</v>
      </c>
      <c r="U401" s="288">
        <f t="shared" si="971" ref="U401:U407">V401</f>
        <v>-315</v>
      </c>
      <c r="V401" s="1132">
        <v>-315</v>
      </c>
      <c r="W401" s="1037">
        <v>63</v>
      </c>
      <c r="X401" s="1037">
        <v>-291</v>
      </c>
      <c r="Y401" s="1037">
        <v>-1467</v>
      </c>
      <c r="Z401" s="288">
        <f t="shared" si="972" ref="Z401:Z407">AA401</f>
        <v>-963</v>
      </c>
      <c r="AA401" s="1132">
        <v>-963</v>
      </c>
      <c r="AB401" s="1037">
        <v>245</v>
      </c>
      <c r="AC401" s="1037">
        <v>72</v>
      </c>
      <c r="AD401" s="1037">
        <v>-868</v>
      </c>
      <c r="AE401" s="288">
        <f t="shared" si="973" ref="AE401:AE407">AF401</f>
        <v>-211</v>
      </c>
      <c r="AF401" s="1132">
        <v>-211</v>
      </c>
      <c r="AG401" s="1037">
        <v>128</v>
      </c>
      <c r="AH401" s="1037">
        <v>85</v>
      </c>
      <c r="AI401" s="1037">
        <v>-330</v>
      </c>
      <c r="AJ401" s="288">
        <f t="shared" si="974" ref="AJ401:AJ407">AK401</f>
        <v>-112</v>
      </c>
      <c r="AK401" s="1132">
        <v>-112</v>
      </c>
      <c r="AL401" s="1037">
        <v>161</v>
      </c>
      <c r="AM401" s="1037">
        <v>46</v>
      </c>
      <c r="AN401" s="1037">
        <v>-597</v>
      </c>
      <c r="AO401" s="288">
        <f t="shared" si="975" ref="AO401:AO407">AP401</f>
        <v>-533</v>
      </c>
      <c r="AP401" s="1132">
        <v>-533</v>
      </c>
      <c r="AQ401" s="1037">
        <v>275</v>
      </c>
      <c r="AR401" s="1037">
        <v>-147</v>
      </c>
      <c r="AS401" s="1037">
        <v>-987</v>
      </c>
      <c r="AT401" s="288">
        <f t="shared" si="976" ref="AT401:AT407">AU401</f>
        <v>-350</v>
      </c>
      <c r="AU401" s="1132">
        <v>-350</v>
      </c>
      <c r="AV401" s="1037">
        <v>39</v>
      </c>
      <c r="AW401" s="1037">
        <v>-462</v>
      </c>
      <c r="AX401" s="1037">
        <v>-1830</v>
      </c>
      <c r="AY401" s="288">
        <f t="shared" si="977" ref="AY401:AY407">AZ401</f>
        <v>-644</v>
      </c>
      <c r="AZ401" s="1132">
        <v>-644</v>
      </c>
      <c r="BA401" s="1037">
        <v>162</v>
      </c>
      <c r="BB401" s="1037">
        <v>-354</v>
      </c>
      <c r="BC401" s="1037">
        <v>-1799</v>
      </c>
      <c r="BD401" s="419">
        <f t="shared" si="978" ref="BD401:BD407">BE401</f>
        <v>-794</v>
      </c>
      <c r="BE401" s="1132">
        <v>-794</v>
      </c>
      <c r="BF401" s="1037">
        <v>-71</v>
      </c>
      <c r="BG401" s="1037">
        <v>112</v>
      </c>
      <c r="BH401" s="1038">
        <v>-2470</v>
      </c>
      <c r="BI401" s="171">
        <f t="shared" si="979" ref="BI401:BI407">BJ401</f>
        <v>0</v>
      </c>
      <c r="BJ401" s="1133"/>
      <c r="BK401" s="171"/>
      <c r="BL401" s="171"/>
      <c r="BM401" s="171"/>
      <c r="BN401" s="171">
        <f t="shared" si="980" ref="BN401:BN407">BO401</f>
        <v>0</v>
      </c>
      <c r="BO401" s="1133"/>
      <c r="BP401" s="1131"/>
      <c r="BQ401" s="1131"/>
      <c r="BR401" s="1133"/>
      <c r="BS401" s="32"/>
    </row>
    <row r="402" spans="1:71" s="673" customFormat="1" ht="15" hidden="1" outlineLevel="1">
      <c r="A402" s="114" t="s">
        <v>267</v>
      </c>
      <c r="B402" s="417"/>
      <c r="C402" s="1132">
        <v>145</v>
      </c>
      <c r="D402" s="1132">
        <v>8</v>
      </c>
      <c r="E402" s="1132">
        <v>-101</v>
      </c>
      <c r="F402" s="1132">
        <v>-51</v>
      </c>
      <c r="G402" s="1132">
        <v>-149</v>
      </c>
      <c r="H402" s="1037">
        <v>-5</v>
      </c>
      <c r="I402" s="1037">
        <v>-54</v>
      </c>
      <c r="J402" s="1037">
        <v>-38</v>
      </c>
      <c r="K402" s="288">
        <f t="shared" si="969"/>
        <v>-87</v>
      </c>
      <c r="L402" s="1132">
        <v>-87</v>
      </c>
      <c r="M402" s="1037">
        <v>27</v>
      </c>
      <c r="N402" s="1037">
        <v>-83</v>
      </c>
      <c r="O402" s="1037">
        <v>68</v>
      </c>
      <c r="P402" s="288">
        <f t="shared" si="970"/>
        <v>-13</v>
      </c>
      <c r="Q402" s="1132">
        <v>-13</v>
      </c>
      <c r="R402" s="1037">
        <v>2</v>
      </c>
      <c r="S402" s="1037">
        <v>-150</v>
      </c>
      <c r="T402" s="1037">
        <v>-257</v>
      </c>
      <c r="U402" s="288">
        <f t="shared" si="971"/>
        <v>-467</v>
      </c>
      <c r="V402" s="1132">
        <v>-467</v>
      </c>
      <c r="W402" s="1037">
        <v>-58</v>
      </c>
      <c r="X402" s="1037">
        <v>-8</v>
      </c>
      <c r="Y402" s="1037">
        <v>-59</v>
      </c>
      <c r="Z402" s="288">
        <f t="shared" si="972"/>
        <v>13</v>
      </c>
      <c r="AA402" s="1132">
        <v>13</v>
      </c>
      <c r="AB402" s="1037">
        <v>26</v>
      </c>
      <c r="AC402" s="1037">
        <v>-16</v>
      </c>
      <c r="AD402" s="1037">
        <v>-257</v>
      </c>
      <c r="AE402" s="288">
        <f t="shared" si="973"/>
        <v>96</v>
      </c>
      <c r="AF402" s="1132">
        <v>96</v>
      </c>
      <c r="AG402" s="1037">
        <v>-271</v>
      </c>
      <c r="AH402" s="1037">
        <v>-298</v>
      </c>
      <c r="AI402" s="1037">
        <v>-281</v>
      </c>
      <c r="AJ402" s="288">
        <f t="shared" si="974"/>
        <v>-406</v>
      </c>
      <c r="AK402" s="1132">
        <v>-406</v>
      </c>
      <c r="AL402" s="1037">
        <v>410</v>
      </c>
      <c r="AM402" s="1037">
        <v>211</v>
      </c>
      <c r="AN402" s="1037">
        <v>120</v>
      </c>
      <c r="AO402" s="288">
        <f t="shared" si="975"/>
        <v>138</v>
      </c>
      <c r="AP402" s="1132">
        <v>138</v>
      </c>
      <c r="AQ402" s="1037">
        <v>164</v>
      </c>
      <c r="AR402" s="1037">
        <v>250</v>
      </c>
      <c r="AS402" s="1037">
        <v>238</v>
      </c>
      <c r="AT402" s="288">
        <f t="shared" si="976"/>
        <v>344</v>
      </c>
      <c r="AU402" s="1132">
        <v>344</v>
      </c>
      <c r="AV402" s="1037">
        <v>1</v>
      </c>
      <c r="AW402" s="1037">
        <v>-100</v>
      </c>
      <c r="AX402" s="1037">
        <v>-163</v>
      </c>
      <c r="AY402" s="288">
        <f t="shared" si="977"/>
        <v>-138</v>
      </c>
      <c r="AZ402" s="1132">
        <v>-138</v>
      </c>
      <c r="BA402" s="1037">
        <v>48</v>
      </c>
      <c r="BB402" s="1037">
        <v>-40</v>
      </c>
      <c r="BC402" s="1037">
        <v>-63</v>
      </c>
      <c r="BD402" s="419">
        <f t="shared" si="978"/>
        <v>-19</v>
      </c>
      <c r="BE402" s="1132">
        <v>-19</v>
      </c>
      <c r="BF402" s="1037">
        <v>57</v>
      </c>
      <c r="BG402" s="1037">
        <v>12</v>
      </c>
      <c r="BH402" s="1038">
        <v>-1</v>
      </c>
      <c r="BI402" s="171">
        <f t="shared" si="979"/>
        <v>0</v>
      </c>
      <c r="BJ402" s="1133"/>
      <c r="BK402" s="171"/>
      <c r="BL402" s="171"/>
      <c r="BM402" s="171"/>
      <c r="BN402" s="171">
        <f t="shared" si="980"/>
        <v>0</v>
      </c>
      <c r="BO402" s="1133"/>
      <c r="BP402" s="1131"/>
      <c r="BQ402" s="1131"/>
      <c r="BR402" s="1133"/>
      <c r="BS402" s="32"/>
    </row>
    <row r="403" spans="1:71" s="673" customFormat="1" ht="15" hidden="1" outlineLevel="1">
      <c r="A403" s="114" t="s">
        <v>268</v>
      </c>
      <c r="B403" s="417"/>
      <c r="C403" s="1132">
        <v>-421</v>
      </c>
      <c r="D403" s="1132">
        <v>-413</v>
      </c>
      <c r="E403" s="1132">
        <v>134</v>
      </c>
      <c r="F403" s="1132">
        <v>918</v>
      </c>
      <c r="G403" s="1132">
        <v>-200</v>
      </c>
      <c r="H403" s="1037">
        <v>-226</v>
      </c>
      <c r="I403" s="1037">
        <v>11</v>
      </c>
      <c r="J403" s="1037">
        <v>505</v>
      </c>
      <c r="K403" s="288">
        <f t="shared" si="969"/>
        <v>587</v>
      </c>
      <c r="L403" s="1132">
        <v>587</v>
      </c>
      <c r="M403" s="1037">
        <v>-242</v>
      </c>
      <c r="N403" s="1037">
        <v>-64</v>
      </c>
      <c r="O403" s="1037">
        <v>491</v>
      </c>
      <c r="P403" s="288">
        <f t="shared" si="970"/>
        <v>451</v>
      </c>
      <c r="Q403" s="1132">
        <v>451</v>
      </c>
      <c r="R403" s="1037">
        <v>-26</v>
      </c>
      <c r="S403" s="1037">
        <v>121</v>
      </c>
      <c r="T403" s="1037">
        <v>796</v>
      </c>
      <c r="U403" s="288">
        <f t="shared" si="971"/>
        <v>533</v>
      </c>
      <c r="V403" s="1132">
        <v>533</v>
      </c>
      <c r="W403" s="1037">
        <v>57</v>
      </c>
      <c r="X403" s="1037">
        <v>275</v>
      </c>
      <c r="Y403" s="1037">
        <v>1372</v>
      </c>
      <c r="Z403" s="288">
        <f t="shared" si="972"/>
        <v>1321</v>
      </c>
      <c r="AA403" s="1132">
        <v>1321</v>
      </c>
      <c r="AB403" s="1037">
        <v>-284</v>
      </c>
      <c r="AC403" s="1037">
        <v>-268</v>
      </c>
      <c r="AD403" s="1037">
        <v>507</v>
      </c>
      <c r="AE403" s="288">
        <f t="shared" si="973"/>
        <v>425</v>
      </c>
      <c r="AF403" s="1132">
        <v>425</v>
      </c>
      <c r="AG403" s="1037">
        <v>-112</v>
      </c>
      <c r="AH403" s="1037">
        <v>-92</v>
      </c>
      <c r="AI403" s="1037">
        <v>475</v>
      </c>
      <c r="AJ403" s="288">
        <f t="shared" si="974"/>
        <v>703</v>
      </c>
      <c r="AK403" s="1132">
        <v>703</v>
      </c>
      <c r="AL403" s="1037">
        <v>-152</v>
      </c>
      <c r="AM403" s="1037">
        <v>30</v>
      </c>
      <c r="AN403" s="1037">
        <v>702</v>
      </c>
      <c r="AO403" s="288">
        <f t="shared" si="975"/>
        <v>812</v>
      </c>
      <c r="AP403" s="1132">
        <v>812</v>
      </c>
      <c r="AQ403" s="1037">
        <v>5</v>
      </c>
      <c r="AR403" s="1037">
        <v>349</v>
      </c>
      <c r="AS403" s="1037">
        <v>1204</v>
      </c>
      <c r="AT403" s="288">
        <f t="shared" si="976"/>
        <v>912</v>
      </c>
      <c r="AU403" s="1132">
        <v>912</v>
      </c>
      <c r="AV403" s="1037">
        <v>77</v>
      </c>
      <c r="AW403" s="1037">
        <v>483</v>
      </c>
      <c r="AX403" s="1037">
        <v>1737</v>
      </c>
      <c r="AY403" s="288">
        <f t="shared" si="977"/>
        <v>1105</v>
      </c>
      <c r="AZ403" s="1132">
        <v>1105</v>
      </c>
      <c r="BA403" s="1037">
        <v>-24</v>
      </c>
      <c r="BB403" s="1037">
        <v>391</v>
      </c>
      <c r="BC403" s="1037">
        <v>1668</v>
      </c>
      <c r="BD403" s="419">
        <f t="shared" si="978"/>
        <v>1318</v>
      </c>
      <c r="BE403" s="1132">
        <v>1318</v>
      </c>
      <c r="BF403" s="1037">
        <v>162</v>
      </c>
      <c r="BG403" s="1037">
        <v>-115</v>
      </c>
      <c r="BH403" s="1038">
        <v>1988</v>
      </c>
      <c r="BI403" s="171">
        <f t="shared" si="979"/>
        <v>0</v>
      </c>
      <c r="BJ403" s="1133"/>
      <c r="BK403" s="171"/>
      <c r="BL403" s="171"/>
      <c r="BM403" s="171"/>
      <c r="BN403" s="171">
        <f t="shared" si="980"/>
        <v>0</v>
      </c>
      <c r="BO403" s="1133"/>
      <c r="BP403" s="1131"/>
      <c r="BQ403" s="1131"/>
      <c r="BR403" s="1133"/>
      <c r="BS403" s="32"/>
    </row>
    <row r="404" spans="1:71" s="673" customFormat="1" ht="15" hidden="1" outlineLevel="1">
      <c r="A404" s="114" t="s">
        <v>269</v>
      </c>
      <c r="B404" s="417"/>
      <c r="C404" s="1132">
        <v>-41</v>
      </c>
      <c r="D404" s="1132">
        <v>-150</v>
      </c>
      <c r="E404" s="1132">
        <v>155</v>
      </c>
      <c r="F404" s="1132">
        <v>0</v>
      </c>
      <c r="G404" s="1132">
        <v>51</v>
      </c>
      <c r="H404" s="1037">
        <v>-108</v>
      </c>
      <c r="I404" s="1037">
        <v>-66</v>
      </c>
      <c r="J404" s="1037">
        <v>162</v>
      </c>
      <c r="K404" s="288">
        <f t="shared" si="969"/>
        <v>134</v>
      </c>
      <c r="L404" s="1132">
        <v>134</v>
      </c>
      <c r="M404" s="1037">
        <v>-151</v>
      </c>
      <c r="N404" s="1037">
        <v>-134</v>
      </c>
      <c r="O404" s="1037">
        <v>79</v>
      </c>
      <c r="P404" s="288">
        <f t="shared" si="970"/>
        <v>-54</v>
      </c>
      <c r="Q404" s="1132">
        <v>-54</v>
      </c>
      <c r="R404" s="1037">
        <v>-90</v>
      </c>
      <c r="S404" s="1037">
        <v>-3</v>
      </c>
      <c r="T404" s="1037">
        <v>244</v>
      </c>
      <c r="U404" s="288">
        <f t="shared" si="971"/>
        <v>43</v>
      </c>
      <c r="V404" s="1132">
        <v>43</v>
      </c>
      <c r="W404" s="1037">
        <v>-13</v>
      </c>
      <c r="X404" s="1037">
        <v>47</v>
      </c>
      <c r="Y404" s="1037">
        <v>272</v>
      </c>
      <c r="Z404" s="288">
        <f t="shared" si="972"/>
        <v>109</v>
      </c>
      <c r="AA404" s="1132">
        <v>109</v>
      </c>
      <c r="AB404" s="1037">
        <v>-82</v>
      </c>
      <c r="AC404" s="1037">
        <v>-22</v>
      </c>
      <c r="AD404" s="1037">
        <v>189</v>
      </c>
      <c r="AE404" s="288">
        <f t="shared" si="973"/>
        <v>9</v>
      </c>
      <c r="AF404" s="1132">
        <v>9</v>
      </c>
      <c r="AG404" s="1037">
        <v>-22</v>
      </c>
      <c r="AH404" s="1037">
        <v>3</v>
      </c>
      <c r="AI404" s="1037">
        <v>115</v>
      </c>
      <c r="AJ404" s="288">
        <f t="shared" si="974"/>
        <v>62</v>
      </c>
      <c r="AK404" s="1132">
        <v>62</v>
      </c>
      <c r="AL404" s="1037">
        <v>-35</v>
      </c>
      <c r="AM404" s="1037">
        <v>-68</v>
      </c>
      <c r="AN404" s="1037">
        <v>163</v>
      </c>
      <c r="AO404" s="288">
        <f t="shared" si="975"/>
        <v>13</v>
      </c>
      <c r="AP404" s="1132">
        <v>13</v>
      </c>
      <c r="AQ404" s="1037">
        <v>-54</v>
      </c>
      <c r="AR404" s="1037">
        <v>22</v>
      </c>
      <c r="AS404" s="1037">
        <v>339</v>
      </c>
      <c r="AT404" s="288">
        <f t="shared" si="976"/>
        <v>113</v>
      </c>
      <c r="AU404" s="1132">
        <v>113</v>
      </c>
      <c r="AV404" s="1037">
        <v>-10</v>
      </c>
      <c r="AW404" s="1037">
        <v>51</v>
      </c>
      <c r="AX404" s="1037">
        <v>446</v>
      </c>
      <c r="AY404" s="288">
        <f t="shared" si="977"/>
        <v>115</v>
      </c>
      <c r="AZ404" s="1132">
        <v>115</v>
      </c>
      <c r="BA404" s="1037">
        <v>-124</v>
      </c>
      <c r="BB404" s="1037">
        <v>3</v>
      </c>
      <c r="BC404" s="1037">
        <v>363</v>
      </c>
      <c r="BD404" s="419">
        <f t="shared" si="978"/>
        <v>151</v>
      </c>
      <c r="BE404" s="1132">
        <v>151</v>
      </c>
      <c r="BF404" s="1037">
        <v>-108</v>
      </c>
      <c r="BG404" s="1037">
        <v>-10</v>
      </c>
      <c r="BH404" s="1038">
        <v>434</v>
      </c>
      <c r="BI404" s="171">
        <f t="shared" si="979"/>
        <v>0</v>
      </c>
      <c r="BJ404" s="1133"/>
      <c r="BK404" s="171"/>
      <c r="BL404" s="171"/>
      <c r="BM404" s="171"/>
      <c r="BN404" s="171">
        <f t="shared" si="980"/>
        <v>0</v>
      </c>
      <c r="BO404" s="1133"/>
      <c r="BP404" s="1131"/>
      <c r="BQ404" s="1131"/>
      <c r="BR404" s="1133"/>
      <c r="BS404" s="32"/>
    </row>
    <row r="405" spans="1:71" s="673" customFormat="1" ht="15" hidden="1" outlineLevel="1">
      <c r="A405" s="114" t="s">
        <v>270</v>
      </c>
      <c r="B405" s="417"/>
      <c r="C405" s="1132">
        <v>-17</v>
      </c>
      <c r="D405" s="1132">
        <v>2</v>
      </c>
      <c r="E405" s="1132">
        <v>245</v>
      </c>
      <c r="F405" s="1132">
        <v>-180</v>
      </c>
      <c r="G405" s="1132">
        <v>280</v>
      </c>
      <c r="H405" s="1037">
        <v>-60</v>
      </c>
      <c r="I405" s="1037">
        <v>-37</v>
      </c>
      <c r="J405" s="1037">
        <v>-92</v>
      </c>
      <c r="K405" s="288">
        <f t="shared" si="969"/>
        <v>-63</v>
      </c>
      <c r="L405" s="1132">
        <v>-63</v>
      </c>
      <c r="M405" s="1037">
        <v>-41</v>
      </c>
      <c r="N405" s="1037">
        <v>53</v>
      </c>
      <c r="O405" s="1037">
        <v>-45</v>
      </c>
      <c r="P405" s="288">
        <f t="shared" si="970"/>
        <v>12</v>
      </c>
      <c r="Q405" s="1132">
        <v>12</v>
      </c>
      <c r="R405" s="1037">
        <v>15</v>
      </c>
      <c r="S405" s="1037">
        <v>12</v>
      </c>
      <c r="T405" s="1037">
        <v>230</v>
      </c>
      <c r="U405" s="288">
        <f t="shared" si="971"/>
        <v>265</v>
      </c>
      <c r="V405" s="1132">
        <v>265</v>
      </c>
      <c r="W405" s="1037">
        <v>45</v>
      </c>
      <c r="X405" s="1037">
        <v>-32</v>
      </c>
      <c r="Y405" s="1037">
        <v>0</v>
      </c>
      <c r="Z405" s="288">
        <f t="shared" si="972"/>
        <v>-18</v>
      </c>
      <c r="AA405" s="1132">
        <v>-18</v>
      </c>
      <c r="AB405" s="1037">
        <v>-16</v>
      </c>
      <c r="AC405" s="1037">
        <v>55</v>
      </c>
      <c r="AD405" s="1037">
        <v>346</v>
      </c>
      <c r="AE405" s="288">
        <f t="shared" si="973"/>
        <v>-140</v>
      </c>
      <c r="AF405" s="1132">
        <v>-140</v>
      </c>
      <c r="AG405" s="1037">
        <v>304</v>
      </c>
      <c r="AH405" s="1037">
        <v>329</v>
      </c>
      <c r="AI405" s="1037">
        <v>417</v>
      </c>
      <c r="AJ405" s="288">
        <f t="shared" si="974"/>
        <v>516</v>
      </c>
      <c r="AK405" s="1132">
        <v>516</v>
      </c>
      <c r="AL405" s="1037">
        <v>-543</v>
      </c>
      <c r="AM405" s="1037">
        <v>-233</v>
      </c>
      <c r="AN405" s="1037">
        <v>-220</v>
      </c>
      <c r="AO405" s="288">
        <f t="shared" si="975"/>
        <v>-71</v>
      </c>
      <c r="AP405" s="1132">
        <v>-71</v>
      </c>
      <c r="AQ405" s="1037">
        <v>-25</v>
      </c>
      <c r="AR405" s="1037">
        <v>123</v>
      </c>
      <c r="AS405" s="1037">
        <v>88</v>
      </c>
      <c r="AT405" s="288">
        <f t="shared" si="976"/>
        <v>-70</v>
      </c>
      <c r="AU405" s="1132">
        <v>-70</v>
      </c>
      <c r="AV405" s="1037">
        <v>18</v>
      </c>
      <c r="AW405" s="1037">
        <v>13</v>
      </c>
      <c r="AX405" s="1037">
        <v>16</v>
      </c>
      <c r="AY405" s="288">
        <f t="shared" si="977"/>
        <v>-69</v>
      </c>
      <c r="AZ405" s="1132">
        <v>-69</v>
      </c>
      <c r="BA405" s="1037">
        <v>-28</v>
      </c>
      <c r="BB405" s="1037">
        <v>24</v>
      </c>
      <c r="BC405" s="1037">
        <v>357</v>
      </c>
      <c r="BD405" s="419">
        <f t="shared" si="978"/>
        <v>72</v>
      </c>
      <c r="BE405" s="1132">
        <v>72</v>
      </c>
      <c r="BF405" s="1037">
        <v>-42</v>
      </c>
      <c r="BG405" s="1037">
        <v>-185</v>
      </c>
      <c r="BH405" s="1038">
        <v>-18</v>
      </c>
      <c r="BI405" s="171">
        <f t="shared" si="979"/>
        <v>0</v>
      </c>
      <c r="BJ405" s="1133"/>
      <c r="BK405" s="171"/>
      <c r="BL405" s="171"/>
      <c r="BM405" s="171"/>
      <c r="BN405" s="171">
        <f t="shared" si="980"/>
        <v>0</v>
      </c>
      <c r="BO405" s="1133"/>
      <c r="BP405" s="1131"/>
      <c r="BQ405" s="1131"/>
      <c r="BR405" s="1133"/>
      <c r="BS405" s="32"/>
    </row>
    <row r="406" spans="1:71" s="673" customFormat="1" ht="15" hidden="1" outlineLevel="1">
      <c r="A406" s="114" t="s">
        <v>271</v>
      </c>
      <c r="B406" s="417"/>
      <c r="C406" s="1131"/>
      <c r="D406" s="1132">
        <v>89</v>
      </c>
      <c r="E406" s="1132">
        <v>-212</v>
      </c>
      <c r="F406" s="1132">
        <v>-21</v>
      </c>
      <c r="G406" s="1132">
        <v>-98</v>
      </c>
      <c r="H406" s="1037">
        <v>-99</v>
      </c>
      <c r="I406" s="1037">
        <v>-45</v>
      </c>
      <c r="J406" s="1037">
        <v>-44</v>
      </c>
      <c r="K406" s="288">
        <f t="shared" si="969"/>
        <v>2</v>
      </c>
      <c r="L406" s="1132">
        <v>2</v>
      </c>
      <c r="M406" s="1037">
        <v>-25</v>
      </c>
      <c r="N406" s="1037">
        <v>-107</v>
      </c>
      <c r="O406" s="1037">
        <v>-53</v>
      </c>
      <c r="P406" s="288">
        <f t="shared" si="970"/>
        <v>-190</v>
      </c>
      <c r="Q406" s="1132">
        <v>-190</v>
      </c>
      <c r="R406" s="1037">
        <v>-55</v>
      </c>
      <c r="S406" s="1037">
        <v>-199</v>
      </c>
      <c r="T406" s="1037">
        <v>-235</v>
      </c>
      <c r="U406" s="288">
        <f t="shared" si="971"/>
        <v>-279</v>
      </c>
      <c r="V406" s="1132">
        <v>-279</v>
      </c>
      <c r="W406" s="1037">
        <v>-487</v>
      </c>
      <c r="X406" s="1037">
        <v>-72</v>
      </c>
      <c r="Y406" s="1037">
        <v>14</v>
      </c>
      <c r="Z406" s="288">
        <f t="shared" si="972"/>
        <v>60</v>
      </c>
      <c r="AA406" s="1132">
        <v>60</v>
      </c>
      <c r="AB406" s="1037">
        <v>31</v>
      </c>
      <c r="AC406" s="1037">
        <v>138</v>
      </c>
      <c r="AD406" s="1037">
        <v>104</v>
      </c>
      <c r="AE406" s="288">
        <f t="shared" si="973"/>
        <v>148</v>
      </c>
      <c r="AF406" s="1132">
        <v>148</v>
      </c>
      <c r="AG406" s="1037">
        <v>16</v>
      </c>
      <c r="AH406" s="1037">
        <v>-3</v>
      </c>
      <c r="AI406" s="1037">
        <v>-2</v>
      </c>
      <c r="AJ406" s="288">
        <f t="shared" si="974"/>
        <v>23</v>
      </c>
      <c r="AK406" s="1132">
        <v>23</v>
      </c>
      <c r="AL406" s="1037">
        <v>89</v>
      </c>
      <c r="AM406" s="1037">
        <v>116</v>
      </c>
      <c r="AN406" s="1037">
        <v>99</v>
      </c>
      <c r="AO406" s="288">
        <f t="shared" si="975"/>
        <v>25</v>
      </c>
      <c r="AP406" s="1132">
        <v>25</v>
      </c>
      <c r="AQ406" s="1037">
        <v>-38</v>
      </c>
      <c r="AR406" s="1037">
        <v>-22</v>
      </c>
      <c r="AS406" s="1037">
        <v>-78</v>
      </c>
      <c r="AT406" s="288">
        <f t="shared" si="976"/>
        <v>-144</v>
      </c>
      <c r="AU406" s="1132">
        <v>-144</v>
      </c>
      <c r="AV406" s="1037">
        <v>172</v>
      </c>
      <c r="AW406" s="1037">
        <v>42</v>
      </c>
      <c r="AX406" s="1037">
        <v>133</v>
      </c>
      <c r="AY406" s="288">
        <f t="shared" si="977"/>
        <v>-183</v>
      </c>
      <c r="AZ406" s="1132">
        <v>-183</v>
      </c>
      <c r="BA406" s="1037">
        <v>139</v>
      </c>
      <c r="BB406" s="1037">
        <v>70</v>
      </c>
      <c r="BC406" s="1037">
        <v>26</v>
      </c>
      <c r="BD406" s="419">
        <f t="shared" si="978"/>
        <v>305</v>
      </c>
      <c r="BE406" s="1132">
        <v>305</v>
      </c>
      <c r="BF406" s="1037">
        <v>-124</v>
      </c>
      <c r="BG406" s="1037">
        <v>-239</v>
      </c>
      <c r="BH406" s="1038">
        <v>-67</v>
      </c>
      <c r="BI406" s="171">
        <f t="shared" si="979"/>
        <v>0</v>
      </c>
      <c r="BJ406" s="1133"/>
      <c r="BK406" s="171"/>
      <c r="BL406" s="171"/>
      <c r="BM406" s="171"/>
      <c r="BN406" s="171">
        <f t="shared" si="980"/>
        <v>0</v>
      </c>
      <c r="BO406" s="1133"/>
      <c r="BP406" s="1131"/>
      <c r="BQ406" s="1131"/>
      <c r="BR406" s="1133"/>
      <c r="BS406" s="32"/>
    </row>
    <row r="407" spans="1:71" s="673" customFormat="1" ht="15" hidden="1" outlineLevel="1">
      <c r="A407" s="114" t="s">
        <v>272</v>
      </c>
      <c r="B407" s="417"/>
      <c r="C407" s="1132">
        <v>-9</v>
      </c>
      <c r="D407" s="1132">
        <v>6</v>
      </c>
      <c r="E407" s="1132">
        <v>23</v>
      </c>
      <c r="F407" s="1132">
        <v>8</v>
      </c>
      <c r="G407" s="1132">
        <v>24</v>
      </c>
      <c r="H407" s="1037">
        <v>4</v>
      </c>
      <c r="I407" s="1037">
        <v>-7</v>
      </c>
      <c r="J407" s="1037">
        <v>4</v>
      </c>
      <c r="K407" s="288">
        <f t="shared" si="969"/>
        <v>15</v>
      </c>
      <c r="L407" s="1132">
        <v>15</v>
      </c>
      <c r="M407" s="1037">
        <v>21</v>
      </c>
      <c r="N407" s="1037">
        <v>18</v>
      </c>
      <c r="O407" s="1037">
        <v>17</v>
      </c>
      <c r="P407" s="288">
        <f t="shared" si="970"/>
        <v>35</v>
      </c>
      <c r="Q407" s="1132">
        <v>35</v>
      </c>
      <c r="R407" s="1037">
        <v>-13</v>
      </c>
      <c r="S407" s="1037">
        <v>-26</v>
      </c>
      <c r="T407" s="1037">
        <v>-39</v>
      </c>
      <c r="U407" s="288">
        <f t="shared" si="971"/>
        <v>-20</v>
      </c>
      <c r="V407" s="1132">
        <v>-20</v>
      </c>
      <c r="W407" s="1037">
        <v>9</v>
      </c>
      <c r="X407" s="1037">
        <v>-4</v>
      </c>
      <c r="Y407" s="1037">
        <v>0</v>
      </c>
      <c r="Z407" s="288">
        <f t="shared" si="972"/>
        <v>37</v>
      </c>
      <c r="AA407" s="1132">
        <v>37</v>
      </c>
      <c r="AB407" s="1037">
        <v>-20</v>
      </c>
      <c r="AC407" s="1037">
        <v>-53</v>
      </c>
      <c r="AD407" s="1037">
        <v>-75</v>
      </c>
      <c r="AE407" s="288">
        <f t="shared" si="973"/>
        <v>-82</v>
      </c>
      <c r="AF407" s="1132">
        <v>-82</v>
      </c>
      <c r="AG407" s="1040">
        <v>-13</v>
      </c>
      <c r="AH407" s="1037">
        <v>-43</v>
      </c>
      <c r="AI407" s="1037">
        <v>-88</v>
      </c>
      <c r="AJ407" s="288">
        <f t="shared" si="974"/>
        <v>-110</v>
      </c>
      <c r="AK407" s="1132">
        <v>-110</v>
      </c>
      <c r="AL407" s="1040">
        <v>8</v>
      </c>
      <c r="AM407" s="1037">
        <v>63</v>
      </c>
      <c r="AN407" s="1037">
        <v>11</v>
      </c>
      <c r="AO407" s="288">
        <f t="shared" si="975"/>
        <v>34</v>
      </c>
      <c r="AP407" s="1132">
        <v>34</v>
      </c>
      <c r="AQ407" s="1040">
        <v>-169</v>
      </c>
      <c r="AR407" s="1037">
        <v>-296</v>
      </c>
      <c r="AS407" s="1037">
        <v>-341</v>
      </c>
      <c r="AT407" s="288">
        <f t="shared" si="976"/>
        <v>-416</v>
      </c>
      <c r="AU407" s="1132">
        <v>-416</v>
      </c>
      <c r="AV407" s="1040">
        <v>-124</v>
      </c>
      <c r="AW407" s="1037">
        <v>-128</v>
      </c>
      <c r="AX407" s="1037">
        <v>-130</v>
      </c>
      <c r="AY407" s="288">
        <f t="shared" si="977"/>
        <v>-139</v>
      </c>
      <c r="AZ407" s="1132">
        <v>-139</v>
      </c>
      <c r="BA407" s="1037">
        <v>-44</v>
      </c>
      <c r="BB407" s="1037">
        <v>-71</v>
      </c>
      <c r="BC407" s="1037">
        <v>-53</v>
      </c>
      <c r="BD407" s="419">
        <f t="shared" si="978"/>
        <v>-26</v>
      </c>
      <c r="BE407" s="1132">
        <v>-26</v>
      </c>
      <c r="BF407" s="1037">
        <v>-15</v>
      </c>
      <c r="BG407" s="1037">
        <v>-22</v>
      </c>
      <c r="BH407" s="1038">
        <v>-45</v>
      </c>
      <c r="BI407" s="171">
        <f t="shared" si="979"/>
        <v>0</v>
      </c>
      <c r="BJ407" s="1133"/>
      <c r="BK407" s="171"/>
      <c r="BL407" s="171"/>
      <c r="BM407" s="171"/>
      <c r="BN407" s="171">
        <f t="shared" si="980"/>
        <v>0</v>
      </c>
      <c r="BO407" s="1133"/>
      <c r="BP407" s="1131"/>
      <c r="BQ407" s="1131"/>
      <c r="BR407" s="1133"/>
      <c r="BS407" s="32"/>
    </row>
    <row r="408" spans="1:71" s="674" customFormat="1" ht="15" hidden="1" outlineLevel="1">
      <c r="A408" s="100" t="s">
        <v>273</v>
      </c>
      <c r="B408" s="516"/>
      <c r="C408" s="1138">
        <f t="shared" si="981" ref="C408:AU408">SUM(C400:C407)</f>
        <v>915</v>
      </c>
      <c r="D408" s="1138">
        <f t="shared" si="981"/>
        <v>864</v>
      </c>
      <c r="E408" s="1138">
        <f t="shared" si="981"/>
        <v>667</v>
      </c>
      <c r="F408" s="1138">
        <f t="shared" si="981"/>
        <v>817</v>
      </c>
      <c r="G408" s="1138">
        <f t="shared" si="981"/>
        <v>760</v>
      </c>
      <c r="H408" s="96">
        <f t="shared" si="981"/>
        <v>204</v>
      </c>
      <c r="I408" s="96">
        <f t="shared" si="981"/>
        <v>499</v>
      </c>
      <c r="J408" s="96">
        <f t="shared" si="981"/>
        <v>674</v>
      </c>
      <c r="K408" s="96">
        <f t="shared" si="981"/>
        <v>1222</v>
      </c>
      <c r="L408" s="1138">
        <f t="shared" si="981"/>
        <v>1222</v>
      </c>
      <c r="M408" s="96">
        <f t="shared" si="981"/>
        <v>397</v>
      </c>
      <c r="N408" s="96">
        <f t="shared" si="981"/>
        <v>576</v>
      </c>
      <c r="O408" s="96">
        <f t="shared" si="981"/>
        <v>907</v>
      </c>
      <c r="P408" s="96">
        <f t="shared" si="981"/>
        <v>1353</v>
      </c>
      <c r="Q408" s="1138">
        <f t="shared" si="981"/>
        <v>1353</v>
      </c>
      <c r="R408" s="96">
        <f t="shared" si="981"/>
        <v>408</v>
      </c>
      <c r="S408" s="96">
        <f t="shared" si="981"/>
        <v>426</v>
      </c>
      <c r="T408" s="96">
        <f t="shared" si="981"/>
        <v>673</v>
      </c>
      <c r="U408" s="96">
        <f t="shared" si="981"/>
        <v>1150</v>
      </c>
      <c r="V408" s="1138">
        <f t="shared" si="981"/>
        <v>1150</v>
      </c>
      <c r="W408" s="96">
        <f t="shared" si="981"/>
        <v>-76</v>
      </c>
      <c r="X408" s="96">
        <f t="shared" si="981"/>
        <v>574</v>
      </c>
      <c r="Y408" s="96">
        <f t="shared" si="981"/>
        <v>993</v>
      </c>
      <c r="Z408" s="96">
        <f t="shared" si="981"/>
        <v>1804</v>
      </c>
      <c r="AA408" s="1138">
        <f t="shared" si="981"/>
        <v>1804</v>
      </c>
      <c r="AB408" s="96">
        <f t="shared" si="981"/>
        <v>391</v>
      </c>
      <c r="AC408" s="96">
        <f t="shared" si="981"/>
        <v>823</v>
      </c>
      <c r="AD408" s="96">
        <f t="shared" si="981"/>
        <v>1277</v>
      </c>
      <c r="AE408" s="96">
        <f t="shared" si="981"/>
        <v>2083</v>
      </c>
      <c r="AF408" s="1138">
        <f t="shared" si="981"/>
        <v>2083</v>
      </c>
      <c r="AG408" s="96">
        <f t="shared" si="981"/>
        <v>454</v>
      </c>
      <c r="AH408" s="96">
        <f t="shared" si="981"/>
        <v>877</v>
      </c>
      <c r="AI408" s="96">
        <f t="shared" si="981"/>
        <v>1691</v>
      </c>
      <c r="AJ408" s="96">
        <f t="shared" si="981"/>
        <v>2456</v>
      </c>
      <c r="AK408" s="1138">
        <f t="shared" si="981"/>
        <v>2456</v>
      </c>
      <c r="AL408" s="96">
        <f t="shared" si="982" ref="AL408:AQ408">SUM(AL400:AL407)</f>
        <v>532</v>
      </c>
      <c r="AM408" s="96">
        <f t="shared" si="982"/>
        <v>1087</v>
      </c>
      <c r="AN408" s="96">
        <f t="shared" si="982"/>
        <v>1696</v>
      </c>
      <c r="AO408" s="96">
        <f t="shared" si="982"/>
        <v>2183</v>
      </c>
      <c r="AP408" s="1138">
        <f t="shared" si="982"/>
        <v>2183</v>
      </c>
      <c r="AQ408" s="96">
        <f t="shared" si="982"/>
        <v>627</v>
      </c>
      <c r="AR408" s="96">
        <f t="shared" si="981"/>
        <v>970</v>
      </c>
      <c r="AS408" s="96">
        <f t="shared" si="981"/>
        <v>1425</v>
      </c>
      <c r="AT408" s="96">
        <f t="shared" si="981"/>
        <v>1714</v>
      </c>
      <c r="AU408" s="1138">
        <f t="shared" si="981"/>
        <v>1714</v>
      </c>
      <c r="AV408" s="96">
        <f>SUM(AV400:AV407)</f>
        <v>503</v>
      </c>
      <c r="AW408" s="96">
        <f>SUM(AW400:AW407)</f>
        <v>514</v>
      </c>
      <c r="AX408" s="96">
        <f>SUM(AX400:AX407)</f>
        <v>1043</v>
      </c>
      <c r="AY408" s="96">
        <f>SUM(AY400:AY407)</f>
        <v>1153</v>
      </c>
      <c r="AZ408" s="1138">
        <f>SUM(AZ400:AZ407)</f>
        <v>1153</v>
      </c>
      <c r="BA408" s="596">
        <f t="shared" si="983" ref="BA408:BJ408">SUM(BA400:BA407)</f>
        <v>403</v>
      </c>
      <c r="BB408" s="596">
        <f t="shared" si="983"/>
        <v>518</v>
      </c>
      <c r="BC408" s="96">
        <f>SUM(BC400:BC407)</f>
        <v>1214</v>
      </c>
      <c r="BD408" s="596">
        <f t="shared" si="983"/>
        <v>1970</v>
      </c>
      <c r="BE408" s="1138">
        <f t="shared" si="983"/>
        <v>1970</v>
      </c>
      <c r="BF408" s="596">
        <f>SUM(BF400:BF407)</f>
        <v>107</v>
      </c>
      <c r="BG408" s="596">
        <f>SUM(BG400:BG407)</f>
        <v>19</v>
      </c>
      <c r="BH408" s="874">
        <f>SUM(BH400:BH407)</f>
        <v>478</v>
      </c>
      <c r="BI408" s="596">
        <f>SUM(BI400:BI407)</f>
        <v>0</v>
      </c>
      <c r="BJ408" s="1139">
        <f t="shared" si="983"/>
        <v>0</v>
      </c>
      <c r="BK408" s="596">
        <f t="shared" si="984" ref="BK408:BR408">SUM(BK400:BK407)</f>
        <v>0</v>
      </c>
      <c r="BL408" s="596">
        <f t="shared" si="984"/>
        <v>0</v>
      </c>
      <c r="BM408" s="596">
        <f t="shared" si="984"/>
        <v>0</v>
      </c>
      <c r="BN408" s="596">
        <f t="shared" si="984"/>
        <v>0</v>
      </c>
      <c r="BO408" s="1139">
        <f t="shared" si="984"/>
        <v>0</v>
      </c>
      <c r="BP408" s="1139">
        <f t="shared" si="984"/>
        <v>0</v>
      </c>
      <c r="BQ408" s="1139">
        <f t="shared" si="984"/>
        <v>0</v>
      </c>
      <c r="BR408" s="1139">
        <f t="shared" si="984"/>
        <v>0</v>
      </c>
      <c r="BS408" s="37"/>
    </row>
    <row r="409" spans="1:71" s="674" customFormat="1" ht="15" hidden="1" outlineLevel="1">
      <c r="A409" s="485"/>
      <c r="B409" s="509"/>
      <c r="C409" s="1147"/>
      <c r="D409" s="1147"/>
      <c r="E409" s="1147"/>
      <c r="F409" s="1147"/>
      <c r="G409" s="1147"/>
      <c r="H409" s="426"/>
      <c r="I409" s="426"/>
      <c r="J409" s="426"/>
      <c r="K409" s="426"/>
      <c r="L409" s="1147"/>
      <c r="M409" s="426"/>
      <c r="N409" s="426"/>
      <c r="O409" s="426"/>
      <c r="P409" s="426"/>
      <c r="Q409" s="1147"/>
      <c r="R409" s="426"/>
      <c r="S409" s="426"/>
      <c r="T409" s="426"/>
      <c r="U409" s="426"/>
      <c r="V409" s="1147"/>
      <c r="W409" s="426"/>
      <c r="X409" s="426"/>
      <c r="Y409" s="426"/>
      <c r="Z409" s="426"/>
      <c r="AA409" s="1147"/>
      <c r="AB409" s="426"/>
      <c r="AC409" s="426"/>
      <c r="AD409" s="426"/>
      <c r="AE409" s="426"/>
      <c r="AF409" s="1147"/>
      <c r="AG409" s="426"/>
      <c r="AH409" s="426"/>
      <c r="AI409" s="426"/>
      <c r="AJ409" s="426"/>
      <c r="AK409" s="1147"/>
      <c r="AL409" s="426"/>
      <c r="AM409" s="426"/>
      <c r="AN409" s="426"/>
      <c r="AO409" s="426"/>
      <c r="AP409" s="1147"/>
      <c r="AQ409" s="426"/>
      <c r="AR409" s="426"/>
      <c r="AS409" s="426"/>
      <c r="AT409" s="426"/>
      <c r="AU409" s="1147"/>
      <c r="AV409" s="426"/>
      <c r="AW409" s="426"/>
      <c r="AX409" s="426"/>
      <c r="AY409" s="426"/>
      <c r="AZ409" s="1147"/>
      <c r="BA409" s="426"/>
      <c r="BB409" s="426"/>
      <c r="BC409" s="426"/>
      <c r="BD409" s="426"/>
      <c r="BE409" s="1147"/>
      <c r="BF409" s="426"/>
      <c r="BG409" s="426"/>
      <c r="BH409" s="487"/>
      <c r="BI409" s="159"/>
      <c r="BJ409" s="1148"/>
      <c r="BK409" s="159"/>
      <c r="BL409" s="159"/>
      <c r="BM409" s="159"/>
      <c r="BN409" s="159"/>
      <c r="BO409" s="1148"/>
      <c r="BP409" s="1147"/>
      <c r="BQ409" s="1147"/>
      <c r="BR409" s="1148"/>
      <c r="BS409" s="37"/>
    </row>
    <row r="410" spans="1:71" s="674" customFormat="1" ht="15" hidden="1" outlineLevel="1">
      <c r="A410" s="101" t="s">
        <v>274</v>
      </c>
      <c r="B410" s="509"/>
      <c r="C410" s="1147"/>
      <c r="D410" s="1147"/>
      <c r="E410" s="1147"/>
      <c r="F410" s="1147"/>
      <c r="G410" s="1147"/>
      <c r="H410" s="426"/>
      <c r="I410" s="426"/>
      <c r="J410" s="426"/>
      <c r="K410" s="426"/>
      <c r="L410" s="1147"/>
      <c r="M410" s="426"/>
      <c r="N410" s="426"/>
      <c r="O410" s="426"/>
      <c r="P410" s="426"/>
      <c r="Q410" s="1147"/>
      <c r="R410" s="426"/>
      <c r="S410" s="426"/>
      <c r="T410" s="426"/>
      <c r="U410" s="426"/>
      <c r="V410" s="1147"/>
      <c r="W410" s="426"/>
      <c r="X410" s="426"/>
      <c r="Y410" s="426"/>
      <c r="Z410" s="426"/>
      <c r="AA410" s="1147"/>
      <c r="AB410" s="426"/>
      <c r="AC410" s="426"/>
      <c r="AD410" s="426"/>
      <c r="AE410" s="426"/>
      <c r="AF410" s="1147"/>
      <c r="AG410" s="426"/>
      <c r="AH410" s="426"/>
      <c r="AI410" s="426"/>
      <c r="AJ410" s="426"/>
      <c r="AK410" s="1147"/>
      <c r="AL410" s="426"/>
      <c r="AM410" s="426"/>
      <c r="AN410" s="426"/>
      <c r="AO410" s="426"/>
      <c r="AP410" s="1147"/>
      <c r="AQ410" s="426"/>
      <c r="AR410" s="426"/>
      <c r="AS410" s="426"/>
      <c r="AT410" s="426"/>
      <c r="AU410" s="1147"/>
      <c r="AV410" s="426"/>
      <c r="AW410" s="426"/>
      <c r="AX410" s="426"/>
      <c r="AY410" s="426"/>
      <c r="AZ410" s="1147"/>
      <c r="BA410" s="426"/>
      <c r="BB410" s="426"/>
      <c r="BC410" s="426"/>
      <c r="BD410" s="426"/>
      <c r="BE410" s="1147"/>
      <c r="BF410" s="426"/>
      <c r="BG410" s="426"/>
      <c r="BH410" s="487"/>
      <c r="BI410" s="159"/>
      <c r="BJ410" s="1148"/>
      <c r="BK410" s="159"/>
      <c r="BL410" s="159"/>
      <c r="BM410" s="159"/>
      <c r="BN410" s="159"/>
      <c r="BO410" s="1148"/>
      <c r="BP410" s="1147"/>
      <c r="BQ410" s="1147"/>
      <c r="BR410" s="1148"/>
      <c r="BS410" s="37"/>
    </row>
    <row r="411" spans="1:71" s="673" customFormat="1" ht="15" hidden="1" outlineLevel="1">
      <c r="A411" s="114" t="s">
        <v>275</v>
      </c>
      <c r="B411" s="417"/>
      <c r="C411" s="1132">
        <v>-4855</v>
      </c>
      <c r="D411" s="1132">
        <v>-4979</v>
      </c>
      <c r="E411" s="1132">
        <v>-5321</v>
      </c>
      <c r="F411" s="1132">
        <v>-4458</v>
      </c>
      <c r="G411" s="1132">
        <v>-6690</v>
      </c>
      <c r="H411" s="1037">
        <v>-1355</v>
      </c>
      <c r="I411" s="1037">
        <v>-3426</v>
      </c>
      <c r="J411" s="1037">
        <v>-5358</v>
      </c>
      <c r="K411" s="288">
        <f t="shared" si="985" ref="K411:K428">L411</f>
        <v>-6846</v>
      </c>
      <c r="L411" s="1132">
        <v>-6846</v>
      </c>
      <c r="M411" s="1037">
        <v>-1605</v>
      </c>
      <c r="N411" s="1037">
        <v>-3728</v>
      </c>
      <c r="O411" s="1037">
        <v>-5395</v>
      </c>
      <c r="P411" s="288">
        <f t="shared" si="986" ref="P411:P428">Q411</f>
        <v>-7201</v>
      </c>
      <c r="Q411" s="1132">
        <v>-7201</v>
      </c>
      <c r="R411" s="1037">
        <v>-2125</v>
      </c>
      <c r="S411" s="1037">
        <v>-3776</v>
      </c>
      <c r="T411" s="1037">
        <v>-5604</v>
      </c>
      <c r="U411" s="288">
        <f t="shared" si="987" ref="U411:U428">V411</f>
        <v>-7537</v>
      </c>
      <c r="V411" s="1132">
        <v>-7537</v>
      </c>
      <c r="W411" s="1037">
        <v>-2879</v>
      </c>
      <c r="X411" s="1037">
        <v>-5387</v>
      </c>
      <c r="Y411" s="1037">
        <v>-7163</v>
      </c>
      <c r="Z411" s="288">
        <f t="shared" si="988" ref="Z411:Z428">AA411</f>
        <v>-9485</v>
      </c>
      <c r="AA411" s="1132">
        <v>-9485</v>
      </c>
      <c r="AB411" s="1037">
        <v>-2464</v>
      </c>
      <c r="AC411" s="1037">
        <v>-4549</v>
      </c>
      <c r="AD411" s="1037">
        <v>-6700</v>
      </c>
      <c r="AE411" s="288">
        <f t="shared" si="989" ref="AE411:AE428">AF411</f>
        <v>-10183</v>
      </c>
      <c r="AF411" s="1132">
        <v>-10183</v>
      </c>
      <c r="AG411" s="1037">
        <v>-1801</v>
      </c>
      <c r="AH411" s="1037">
        <v>-3761</v>
      </c>
      <c r="AI411" s="1037">
        <v>-5533</v>
      </c>
      <c r="AJ411" s="288">
        <f t="shared" si="990" ref="AJ411:AJ428">AK411</f>
        <v>-8260</v>
      </c>
      <c r="AK411" s="1132">
        <v>-8260</v>
      </c>
      <c r="AL411" s="1037">
        <v>-4140</v>
      </c>
      <c r="AM411" s="1037">
        <v>-6121</v>
      </c>
      <c r="AN411" s="1037">
        <v>-7817</v>
      </c>
      <c r="AO411" s="288">
        <f t="shared" si="991" ref="AO411:AO428">AP411</f>
        <v>-10335</v>
      </c>
      <c r="AP411" s="1132">
        <v>-10335</v>
      </c>
      <c r="AQ411" s="1037">
        <v>-3443</v>
      </c>
      <c r="AR411" s="1037">
        <v>-5573</v>
      </c>
      <c r="AS411" s="1037">
        <v>-6907</v>
      </c>
      <c r="AT411" s="288">
        <f t="shared" si="992" ref="AT411:AT428">AU411</f>
        <v>-7978</v>
      </c>
      <c r="AU411" s="1132">
        <v>-7978</v>
      </c>
      <c r="AV411" s="1037">
        <v>-1682</v>
      </c>
      <c r="AW411" s="1037">
        <v>-2673</v>
      </c>
      <c r="AX411" s="1037">
        <v>-3733</v>
      </c>
      <c r="AY411" s="288">
        <f t="shared" si="993" ref="AY411:AY428">AZ411</f>
        <v>-4387</v>
      </c>
      <c r="AZ411" s="1132">
        <v>-4387</v>
      </c>
      <c r="BA411" s="1037">
        <v>-575</v>
      </c>
      <c r="BB411" s="1037">
        <v>-851</v>
      </c>
      <c r="BC411" s="1037">
        <v>-1463</v>
      </c>
      <c r="BD411" s="419">
        <f t="shared" si="994" ref="BD411:BD428">BE411</f>
        <v>-2005</v>
      </c>
      <c r="BE411" s="1132">
        <v>-2005</v>
      </c>
      <c r="BF411" s="1037">
        <v>-408</v>
      </c>
      <c r="BG411" s="1037">
        <v>-821</v>
      </c>
      <c r="BH411" s="1038">
        <v>-1349</v>
      </c>
      <c r="BI411" s="171">
        <f t="shared" si="995" ref="BI411:BI428">BJ411</f>
        <v>0</v>
      </c>
      <c r="BJ411" s="1133"/>
      <c r="BK411" s="171"/>
      <c r="BL411" s="171"/>
      <c r="BM411" s="171"/>
      <c r="BN411" s="171">
        <f t="shared" si="996" ref="BN411:BN428">BO411</f>
        <v>0</v>
      </c>
      <c r="BO411" s="1133"/>
      <c r="BP411" s="1131"/>
      <c r="BQ411" s="1131"/>
      <c r="BR411" s="1133"/>
      <c r="BS411" s="32"/>
    </row>
    <row r="412" spans="1:71" s="673" customFormat="1" ht="15" hidden="1" outlineLevel="1">
      <c r="A412" s="114" t="s">
        <v>276</v>
      </c>
      <c r="B412" s="417"/>
      <c r="C412" s="1132">
        <v>-21</v>
      </c>
      <c r="D412" s="1132">
        <v>-223</v>
      </c>
      <c r="E412" s="1132">
        <v>-397</v>
      </c>
      <c r="F412" s="1132">
        <v>-281</v>
      </c>
      <c r="G412" s="1132">
        <v>-461</v>
      </c>
      <c r="H412" s="1037">
        <v>-137</v>
      </c>
      <c r="I412" s="1037">
        <v>-274</v>
      </c>
      <c r="J412" s="1037">
        <v>-356</v>
      </c>
      <c r="K412" s="288">
        <f t="shared" si="985"/>
        <v>-471</v>
      </c>
      <c r="L412" s="1132">
        <v>-471</v>
      </c>
      <c r="M412" s="1037">
        <v>-79</v>
      </c>
      <c r="N412" s="1037">
        <v>-152</v>
      </c>
      <c r="O412" s="1037">
        <v>-449</v>
      </c>
      <c r="P412" s="288">
        <f t="shared" si="986"/>
        <v>-570</v>
      </c>
      <c r="Q412" s="1132">
        <v>-570</v>
      </c>
      <c r="R412" s="1037">
        <v>-74</v>
      </c>
      <c r="S412" s="1037">
        <v>-101</v>
      </c>
      <c r="T412" s="1037">
        <v>-143</v>
      </c>
      <c r="U412" s="288">
        <f t="shared" si="987"/>
        <v>-207</v>
      </c>
      <c r="V412" s="1132">
        <v>-207</v>
      </c>
      <c r="W412" s="1037">
        <v>-22</v>
      </c>
      <c r="X412" s="1037">
        <v>-44</v>
      </c>
      <c r="Y412" s="1037">
        <v>-73</v>
      </c>
      <c r="Z412" s="288">
        <f t="shared" si="988"/>
        <v>-182</v>
      </c>
      <c r="AA412" s="1132">
        <v>-182</v>
      </c>
      <c r="AB412" s="1037">
        <v>-212</v>
      </c>
      <c r="AC412" s="1037">
        <v>-248</v>
      </c>
      <c r="AD412" s="1037">
        <v>-342</v>
      </c>
      <c r="AE412" s="288">
        <f t="shared" si="989"/>
        <v>-568</v>
      </c>
      <c r="AF412" s="1132">
        <v>-568</v>
      </c>
      <c r="AG412" s="1037">
        <v>-35</v>
      </c>
      <c r="AH412" s="1037">
        <v>-80</v>
      </c>
      <c r="AI412" s="1037">
        <v>-161</v>
      </c>
      <c r="AJ412" s="288">
        <f t="shared" si="990"/>
        <v>-242</v>
      </c>
      <c r="AK412" s="1132">
        <v>-242</v>
      </c>
      <c r="AL412" s="1037">
        <v>-232</v>
      </c>
      <c r="AM412" s="1037">
        <v>-324</v>
      </c>
      <c r="AN412" s="1037">
        <v>-354</v>
      </c>
      <c r="AO412" s="288">
        <f t="shared" si="991"/>
        <v>-404</v>
      </c>
      <c r="AP412" s="1132">
        <v>-404</v>
      </c>
      <c r="AQ412" s="1037">
        <v>-41</v>
      </c>
      <c r="AR412" s="1037">
        <v>-66</v>
      </c>
      <c r="AS412" s="1037">
        <v>-110</v>
      </c>
      <c r="AT412" s="288">
        <f t="shared" si="992"/>
        <v>-193</v>
      </c>
      <c r="AU412" s="1132">
        <v>-193</v>
      </c>
      <c r="AV412" s="1037">
        <v>-45</v>
      </c>
      <c r="AW412" s="1037">
        <v>-147</v>
      </c>
      <c r="AX412" s="1037">
        <v>-194</v>
      </c>
      <c r="AY412" s="288">
        <f t="shared" si="993"/>
        <v>-239</v>
      </c>
      <c r="AZ412" s="1132">
        <v>-239</v>
      </c>
      <c r="BA412" s="1037">
        <v>-41</v>
      </c>
      <c r="BB412" s="1037">
        <v>-76</v>
      </c>
      <c r="BC412" s="1037">
        <v>-101</v>
      </c>
      <c r="BD412" s="419">
        <f t="shared" si="994"/>
        <v>-146</v>
      </c>
      <c r="BE412" s="1132">
        <v>-146</v>
      </c>
      <c r="BF412" s="1037">
        <v>-42</v>
      </c>
      <c r="BG412" s="1037">
        <v>-94</v>
      </c>
      <c r="BH412" s="1038">
        <v>-141</v>
      </c>
      <c r="BI412" s="171">
        <f t="shared" si="995"/>
        <v>0</v>
      </c>
      <c r="BJ412" s="1133"/>
      <c r="BK412" s="171"/>
      <c r="BL412" s="171"/>
      <c r="BM412" s="171"/>
      <c r="BN412" s="171">
        <f t="shared" si="996"/>
        <v>0</v>
      </c>
      <c r="BO412" s="1133"/>
      <c r="BP412" s="1131"/>
      <c r="BQ412" s="1131"/>
      <c r="BR412" s="1133"/>
      <c r="BS412" s="32"/>
    </row>
    <row r="413" spans="1:71" s="673" customFormat="1" ht="15" hidden="1" outlineLevel="1">
      <c r="A413" s="114" t="s">
        <v>277</v>
      </c>
      <c r="B413" s="417"/>
      <c r="C413" s="1132">
        <v>-82</v>
      </c>
      <c r="D413" s="1132">
        <v>-159</v>
      </c>
      <c r="E413" s="1132">
        <v>-190</v>
      </c>
      <c r="F413" s="1132">
        <v>-269</v>
      </c>
      <c r="G413" s="1132">
        <v>-274</v>
      </c>
      <c r="H413" s="1037">
        <v>-113</v>
      </c>
      <c r="I413" s="1037">
        <v>-180</v>
      </c>
      <c r="J413" s="1037">
        <v>-355</v>
      </c>
      <c r="K413" s="288">
        <f t="shared" si="985"/>
        <v>-450</v>
      </c>
      <c r="L413" s="1132">
        <v>-450</v>
      </c>
      <c r="M413" s="1037">
        <v>-31</v>
      </c>
      <c r="N413" s="1037">
        <v>-62</v>
      </c>
      <c r="O413" s="1037">
        <v>-105</v>
      </c>
      <c r="P413" s="288">
        <f t="shared" si="986"/>
        <v>-213</v>
      </c>
      <c r="Q413" s="1132">
        <v>-213</v>
      </c>
      <c r="R413" s="1037">
        <v>-131</v>
      </c>
      <c r="S413" s="1037">
        <v>-255</v>
      </c>
      <c r="T413" s="1037">
        <v>-310</v>
      </c>
      <c r="U413" s="288">
        <f t="shared" si="987"/>
        <v>-341</v>
      </c>
      <c r="V413" s="1132">
        <v>-341</v>
      </c>
      <c r="W413" s="1037">
        <v>-23</v>
      </c>
      <c r="X413" s="1037">
        <v>-146</v>
      </c>
      <c r="Y413" s="1037">
        <v>-149</v>
      </c>
      <c r="Z413" s="288">
        <f t="shared" si="988"/>
        <v>-254</v>
      </c>
      <c r="AA413" s="1132">
        <v>-254</v>
      </c>
      <c r="AB413" s="1037">
        <v>0</v>
      </c>
      <c r="AC413" s="1037">
        <v>-90</v>
      </c>
      <c r="AD413" s="1037">
        <v>-112</v>
      </c>
      <c r="AE413" s="288">
        <f t="shared" si="989"/>
        <v>-167</v>
      </c>
      <c r="AF413" s="1132">
        <v>-167</v>
      </c>
      <c r="AG413" s="1037">
        <v>-38</v>
      </c>
      <c r="AH413" s="1037">
        <v>-43</v>
      </c>
      <c r="AI413" s="1037">
        <v>-181</v>
      </c>
      <c r="AJ413" s="288">
        <f t="shared" si="990"/>
        <v>-442</v>
      </c>
      <c r="AK413" s="1132">
        <v>-442</v>
      </c>
      <c r="AL413" s="1037">
        <v>-21</v>
      </c>
      <c r="AM413" s="1037">
        <v>-152</v>
      </c>
      <c r="AN413" s="1037">
        <v>-197</v>
      </c>
      <c r="AO413" s="288">
        <f t="shared" si="991"/>
        <v>-372</v>
      </c>
      <c r="AP413" s="1132">
        <v>-372</v>
      </c>
      <c r="AQ413" s="1037">
        <v>-35</v>
      </c>
      <c r="AR413" s="1037">
        <v>-90</v>
      </c>
      <c r="AS413" s="1037">
        <v>-179</v>
      </c>
      <c r="AT413" s="288">
        <f t="shared" si="992"/>
        <v>-218</v>
      </c>
      <c r="AU413" s="1132">
        <v>-218</v>
      </c>
      <c r="AV413" s="1037">
        <v>-265</v>
      </c>
      <c r="AW413" s="1037">
        <v>-271</v>
      </c>
      <c r="AX413" s="1037">
        <v>-273</v>
      </c>
      <c r="AY413" s="288">
        <f t="shared" si="993"/>
        <v>-273</v>
      </c>
      <c r="AZ413" s="1132">
        <v>-273</v>
      </c>
      <c r="BA413" s="1037">
        <v>0</v>
      </c>
      <c r="BB413" s="419"/>
      <c r="BC413" s="419"/>
      <c r="BD413" s="419">
        <f t="shared" si="994"/>
        <v>0</v>
      </c>
      <c r="BE413" s="1132">
        <v>0</v>
      </c>
      <c r="BF413" s="1037">
        <v>-89</v>
      </c>
      <c r="BG413" s="1037">
        <v>-141</v>
      </c>
      <c r="BH413" s="1038">
        <v>-141</v>
      </c>
      <c r="BI413" s="171">
        <f t="shared" si="995"/>
        <v>0</v>
      </c>
      <c r="BJ413" s="1133"/>
      <c r="BK413" s="171"/>
      <c r="BL413" s="171"/>
      <c r="BM413" s="171"/>
      <c r="BN413" s="171">
        <f t="shared" si="996"/>
        <v>0</v>
      </c>
      <c r="BO413" s="1133"/>
      <c r="BP413" s="1131"/>
      <c r="BQ413" s="1131"/>
      <c r="BR413" s="1133"/>
      <c r="BS413" s="32"/>
    </row>
    <row r="414" spans="1:71" s="673" customFormat="1" ht="15" hidden="1" outlineLevel="1">
      <c r="A414" s="114" t="s">
        <v>278</v>
      </c>
      <c r="B414" s="417"/>
      <c r="C414" s="1131"/>
      <c r="D414" s="1131"/>
      <c r="E414" s="1131"/>
      <c r="F414" s="1131"/>
      <c r="G414" s="1131"/>
      <c r="H414" s="419"/>
      <c r="I414" s="419"/>
      <c r="J414" s="419"/>
      <c r="K414" s="288">
        <f t="shared" si="985"/>
        <v>0</v>
      </c>
      <c r="L414" s="1131"/>
      <c r="M414" s="419"/>
      <c r="N414" s="419"/>
      <c r="O414" s="419"/>
      <c r="P414" s="288">
        <f t="shared" si="986"/>
        <v>-534</v>
      </c>
      <c r="Q414" s="1132">
        <v>-534</v>
      </c>
      <c r="R414" s="1037">
        <v>-139</v>
      </c>
      <c r="S414" s="419"/>
      <c r="T414" s="419"/>
      <c r="U414" s="288">
        <f t="shared" si="987"/>
        <v>-738</v>
      </c>
      <c r="V414" s="1132">
        <v>-738</v>
      </c>
      <c r="W414" s="1037">
        <v>-181</v>
      </c>
      <c r="X414" s="1037">
        <v>-360</v>
      </c>
      <c r="Y414" s="1037">
        <v>-594</v>
      </c>
      <c r="Z414" s="288">
        <f t="shared" si="988"/>
        <v>-831</v>
      </c>
      <c r="AA414" s="1132">
        <v>-831</v>
      </c>
      <c r="AB414" s="1037">
        <v>-195</v>
      </c>
      <c r="AC414" s="1037">
        <v>-446</v>
      </c>
      <c r="AD414" s="1037">
        <v>-695</v>
      </c>
      <c r="AE414" s="288">
        <f t="shared" si="989"/>
        <v>-973</v>
      </c>
      <c r="AF414" s="1132">
        <v>-973</v>
      </c>
      <c r="AG414" s="1037">
        <v>-220</v>
      </c>
      <c r="AH414" s="1037">
        <v>-467</v>
      </c>
      <c r="AI414" s="1037">
        <v>-658</v>
      </c>
      <c r="AJ414" s="288">
        <f t="shared" si="990"/>
        <v>-991</v>
      </c>
      <c r="AK414" s="1132">
        <v>-991</v>
      </c>
      <c r="AL414" s="1037">
        <v>-245</v>
      </c>
      <c r="AM414" s="1037">
        <v>-501</v>
      </c>
      <c r="AN414" s="1037">
        <v>-699</v>
      </c>
      <c r="AO414" s="288">
        <f t="shared" si="991"/>
        <v>-897</v>
      </c>
      <c r="AP414" s="1132">
        <v>-897</v>
      </c>
      <c r="AQ414" s="1037">
        <v>-164</v>
      </c>
      <c r="AR414" s="1037">
        <v>-294</v>
      </c>
      <c r="AS414" s="1037">
        <v>-313</v>
      </c>
      <c r="AT414" s="288">
        <f t="shared" si="992"/>
        <v>-391</v>
      </c>
      <c r="AU414" s="1132">
        <v>-391</v>
      </c>
      <c r="AV414" s="1037">
        <v>-47</v>
      </c>
      <c r="AW414" s="1037">
        <v>-68</v>
      </c>
      <c r="AX414" s="1037">
        <v>-96</v>
      </c>
      <c r="AY414" s="288">
        <f t="shared" si="993"/>
        <v>-141</v>
      </c>
      <c r="AZ414" s="1132">
        <v>-141</v>
      </c>
      <c r="BA414" s="1037">
        <v>-49</v>
      </c>
      <c r="BB414" s="1037">
        <v>-73</v>
      </c>
      <c r="BC414" s="1037">
        <v>-109</v>
      </c>
      <c r="BD414" s="419">
        <f t="shared" si="994"/>
        <v>-150</v>
      </c>
      <c r="BE414" s="1132">
        <v>-150</v>
      </c>
      <c r="BF414" s="1037">
        <v>-27</v>
      </c>
      <c r="BG414" s="1037">
        <v>-94</v>
      </c>
      <c r="BH414" s="1038">
        <v>-143</v>
      </c>
      <c r="BI414" s="171">
        <f t="shared" si="995"/>
        <v>0</v>
      </c>
      <c r="BJ414" s="1133"/>
      <c r="BK414" s="171"/>
      <c r="BL414" s="171"/>
      <c r="BM414" s="171"/>
      <c r="BN414" s="171">
        <f t="shared" si="996"/>
        <v>0</v>
      </c>
      <c r="BO414" s="1133"/>
      <c r="BP414" s="1131"/>
      <c r="BQ414" s="1131"/>
      <c r="BR414" s="1133"/>
      <c r="BS414" s="32"/>
    </row>
    <row r="415" spans="1:71" s="673" customFormat="1" ht="15" hidden="1" outlineLevel="1">
      <c r="A415" s="114" t="s">
        <v>279</v>
      </c>
      <c r="B415" s="417"/>
      <c r="C415" s="1132">
        <v>-62</v>
      </c>
      <c r="D415" s="1132">
        <v>-74</v>
      </c>
      <c r="E415" s="1132">
        <v>-86</v>
      </c>
      <c r="F415" s="1132">
        <v>-71</v>
      </c>
      <c r="G415" s="1132">
        <v>-52</v>
      </c>
      <c r="H415" s="1037">
        <v>-14</v>
      </c>
      <c r="I415" s="1037">
        <v>-20</v>
      </c>
      <c r="J415" s="1037">
        <v>-34</v>
      </c>
      <c r="K415" s="288">
        <f t="shared" si="985"/>
        <v>-47</v>
      </c>
      <c r="L415" s="1132">
        <v>-47</v>
      </c>
      <c r="M415" s="1037">
        <v>-19</v>
      </c>
      <c r="N415" s="1037">
        <v>-32</v>
      </c>
      <c r="O415" s="1037">
        <v>-65</v>
      </c>
      <c r="P415" s="288">
        <f t="shared" si="986"/>
        <v>-102</v>
      </c>
      <c r="Q415" s="1132">
        <v>-102</v>
      </c>
      <c r="R415" s="1037">
        <v>-18</v>
      </c>
      <c r="S415" s="1037">
        <v>-26</v>
      </c>
      <c r="T415" s="1037">
        <v>-37</v>
      </c>
      <c r="U415" s="288">
        <f t="shared" si="987"/>
        <v>-49</v>
      </c>
      <c r="V415" s="1132">
        <v>-49</v>
      </c>
      <c r="W415" s="1037">
        <v>-11</v>
      </c>
      <c r="X415" s="1037">
        <v>-30</v>
      </c>
      <c r="Y415" s="1037">
        <v>-46</v>
      </c>
      <c r="Z415" s="288">
        <f t="shared" si="988"/>
        <v>-109</v>
      </c>
      <c r="AA415" s="1132">
        <v>-109</v>
      </c>
      <c r="AB415" s="1037">
        <v>-23</v>
      </c>
      <c r="AC415" s="1037">
        <v>-44</v>
      </c>
      <c r="AD415" s="1037">
        <v>-60</v>
      </c>
      <c r="AE415" s="288">
        <f t="shared" si="989"/>
        <v>-80</v>
      </c>
      <c r="AF415" s="1132">
        <v>-80</v>
      </c>
      <c r="AG415" s="1037">
        <v>-10</v>
      </c>
      <c r="AH415" s="1037">
        <v>-20</v>
      </c>
      <c r="AI415" s="1037">
        <v>-33</v>
      </c>
      <c r="AJ415" s="288">
        <f t="shared" si="990"/>
        <v>-44</v>
      </c>
      <c r="AK415" s="1132">
        <v>-44</v>
      </c>
      <c r="AL415" s="1037">
        <v>-9</v>
      </c>
      <c r="AM415" s="1037">
        <v>-20</v>
      </c>
      <c r="AN415" s="1037">
        <v>-41</v>
      </c>
      <c r="AO415" s="288">
        <f t="shared" si="991"/>
        <v>-60</v>
      </c>
      <c r="AP415" s="1132">
        <v>-60</v>
      </c>
      <c r="AQ415" s="1037">
        <v>-13</v>
      </c>
      <c r="AR415" s="1037">
        <v>-26</v>
      </c>
      <c r="AS415" s="1037">
        <v>-53</v>
      </c>
      <c r="AT415" s="288">
        <f t="shared" si="992"/>
        <v>-62</v>
      </c>
      <c r="AU415" s="1132">
        <v>-62</v>
      </c>
      <c r="AV415" s="1037">
        <v>-23</v>
      </c>
      <c r="AW415" s="1037">
        <v>-58</v>
      </c>
      <c r="AX415" s="1037">
        <v>-72</v>
      </c>
      <c r="AY415" s="288">
        <f t="shared" si="993"/>
        <v>-86</v>
      </c>
      <c r="AZ415" s="1132">
        <v>-86</v>
      </c>
      <c r="BA415" s="1037">
        <v>-13</v>
      </c>
      <c r="BB415" s="1037">
        <v>-33</v>
      </c>
      <c r="BC415" s="1037">
        <v>-40</v>
      </c>
      <c r="BD415" s="419">
        <f t="shared" si="994"/>
        <v>-72</v>
      </c>
      <c r="BE415" s="1132">
        <v>-72</v>
      </c>
      <c r="BF415" s="1037">
        <v>-38</v>
      </c>
      <c r="BG415" s="1037">
        <v>-71</v>
      </c>
      <c r="BH415" s="1038">
        <v>-100</v>
      </c>
      <c r="BI415" s="171">
        <f t="shared" si="995"/>
        <v>0</v>
      </c>
      <c r="BJ415" s="1133"/>
      <c r="BK415" s="171"/>
      <c r="BL415" s="171"/>
      <c r="BM415" s="171"/>
      <c r="BN415" s="171">
        <f t="shared" si="996"/>
        <v>0</v>
      </c>
      <c r="BO415" s="1133"/>
      <c r="BP415" s="1131"/>
      <c r="BQ415" s="1131"/>
      <c r="BR415" s="1133"/>
      <c r="BS415" s="32"/>
    </row>
    <row r="416" spans="1:71" s="673" customFormat="1" ht="15" hidden="1" outlineLevel="1">
      <c r="A416" s="114" t="s">
        <v>280</v>
      </c>
      <c r="B416" s="417"/>
      <c r="C416" s="1132">
        <v>-5</v>
      </c>
      <c r="D416" s="1132">
        <v>-128</v>
      </c>
      <c r="E416" s="1132">
        <v>0</v>
      </c>
      <c r="F416" s="1131"/>
      <c r="G416" s="1132">
        <v>0</v>
      </c>
      <c r="H416" s="1037">
        <v>-8</v>
      </c>
      <c r="I416" s="1037">
        <v>-267</v>
      </c>
      <c r="J416" s="1037">
        <v>-267</v>
      </c>
      <c r="K416" s="288">
        <f t="shared" si="985"/>
        <v>-267</v>
      </c>
      <c r="L416" s="1132">
        <v>-267</v>
      </c>
      <c r="M416" s="419"/>
      <c r="N416" s="419"/>
      <c r="O416" s="419"/>
      <c r="P416" s="288">
        <f t="shared" si="986"/>
        <v>0</v>
      </c>
      <c r="Q416" s="1132">
        <v>0</v>
      </c>
      <c r="R416" s="419"/>
      <c r="S416" s="419"/>
      <c r="T416" s="419"/>
      <c r="U416" s="288">
        <f t="shared" si="987"/>
        <v>0</v>
      </c>
      <c r="V416" s="1132">
        <v>0</v>
      </c>
      <c r="W416" s="419"/>
      <c r="X416" s="419"/>
      <c r="Y416" s="419"/>
      <c r="Z416" s="288">
        <f t="shared" si="988"/>
        <v>0</v>
      </c>
      <c r="AA416" s="1131"/>
      <c r="AB416" s="1037">
        <v>0</v>
      </c>
      <c r="AC416" s="419"/>
      <c r="AD416" s="419"/>
      <c r="AE416" s="288">
        <f t="shared" si="989"/>
        <v>-36</v>
      </c>
      <c r="AF416" s="1132">
        <v>-36</v>
      </c>
      <c r="AG416" s="419"/>
      <c r="AH416" s="419"/>
      <c r="AI416" s="419"/>
      <c r="AJ416" s="288">
        <f t="shared" si="990"/>
        <v>0</v>
      </c>
      <c r="AK416" s="1131"/>
      <c r="AL416" s="419"/>
      <c r="AM416" s="419"/>
      <c r="AN416" s="419"/>
      <c r="AO416" s="288">
        <f t="shared" si="991"/>
        <v>-3</v>
      </c>
      <c r="AP416" s="1132">
        <v>-3</v>
      </c>
      <c r="AQ416" s="419"/>
      <c r="AR416" s="419"/>
      <c r="AS416" s="419"/>
      <c r="AT416" s="288">
        <f t="shared" si="992"/>
        <v>-123</v>
      </c>
      <c r="AU416" s="1132">
        <v>-123</v>
      </c>
      <c r="AV416" s="419"/>
      <c r="AW416" s="419"/>
      <c r="AX416" s="1037">
        <v>-10</v>
      </c>
      <c r="AY416" s="288">
        <f t="shared" si="993"/>
        <v>-10</v>
      </c>
      <c r="AZ416" s="1132">
        <v>-10</v>
      </c>
      <c r="BA416" s="419"/>
      <c r="BB416" s="419"/>
      <c r="BC416" s="1037">
        <v>-234</v>
      </c>
      <c r="BD416" s="419">
        <f t="shared" si="994"/>
        <v>-234</v>
      </c>
      <c r="BE416" s="1132">
        <v>-234</v>
      </c>
      <c r="BF416" s="419"/>
      <c r="BG416" s="419"/>
      <c r="BH416" s="464"/>
      <c r="BI416" s="171">
        <f t="shared" si="995"/>
        <v>0</v>
      </c>
      <c r="BJ416" s="1133"/>
      <c r="BK416" s="171"/>
      <c r="BL416" s="171"/>
      <c r="BM416" s="171"/>
      <c r="BN416" s="171">
        <f t="shared" si="996"/>
        <v>0</v>
      </c>
      <c r="BO416" s="1133"/>
      <c r="BP416" s="1131"/>
      <c r="BQ416" s="1131"/>
      <c r="BR416" s="1133"/>
      <c r="BS416" s="32"/>
    </row>
    <row r="417" spans="1:71" s="673" customFormat="1" ht="15" hidden="1" outlineLevel="1">
      <c r="A417" s="114" t="s">
        <v>281</v>
      </c>
      <c r="B417" s="417"/>
      <c r="C417" s="1132">
        <v>1934</v>
      </c>
      <c r="D417" s="1132">
        <v>2081</v>
      </c>
      <c r="E417" s="1132">
        <v>1974</v>
      </c>
      <c r="F417" s="1132">
        <v>2262</v>
      </c>
      <c r="G417" s="1132">
        <v>3236</v>
      </c>
      <c r="H417" s="1037">
        <v>782</v>
      </c>
      <c r="I417" s="1037">
        <v>1609</v>
      </c>
      <c r="J417" s="1037">
        <v>2252</v>
      </c>
      <c r="K417" s="288">
        <f t="shared" si="985"/>
        <v>2988</v>
      </c>
      <c r="L417" s="1132">
        <v>2988</v>
      </c>
      <c r="M417" s="1037">
        <v>736</v>
      </c>
      <c r="N417" s="1037">
        <v>1688</v>
      </c>
      <c r="O417" s="1037">
        <v>2426</v>
      </c>
      <c r="P417" s="288">
        <f t="shared" si="986"/>
        <v>3333</v>
      </c>
      <c r="Q417" s="1132">
        <v>3333</v>
      </c>
      <c r="R417" s="1037">
        <v>840</v>
      </c>
      <c r="S417" s="1037">
        <v>2073</v>
      </c>
      <c r="T417" s="1037">
        <v>3111</v>
      </c>
      <c r="U417" s="288">
        <f t="shared" si="987"/>
        <v>4713</v>
      </c>
      <c r="V417" s="1132">
        <v>4713</v>
      </c>
      <c r="W417" s="1037">
        <v>1511</v>
      </c>
      <c r="X417" s="1037">
        <v>3285</v>
      </c>
      <c r="Y417" s="1037">
        <v>4690</v>
      </c>
      <c r="Z417" s="288">
        <f t="shared" si="988"/>
        <v>6105</v>
      </c>
      <c r="AA417" s="1132">
        <v>6105</v>
      </c>
      <c r="AB417" s="1037">
        <v>962</v>
      </c>
      <c r="AC417" s="1037">
        <v>2283</v>
      </c>
      <c r="AD417" s="1037">
        <v>3516</v>
      </c>
      <c r="AE417" s="288">
        <f t="shared" si="989"/>
        <v>4948</v>
      </c>
      <c r="AF417" s="1132">
        <v>4948</v>
      </c>
      <c r="AG417" s="1037">
        <v>1032</v>
      </c>
      <c r="AH417" s="1037">
        <v>2347</v>
      </c>
      <c r="AI417" s="1037">
        <v>3411</v>
      </c>
      <c r="AJ417" s="288">
        <f t="shared" si="990"/>
        <v>4567</v>
      </c>
      <c r="AK417" s="1132">
        <v>4567</v>
      </c>
      <c r="AL417" s="1037">
        <v>1220</v>
      </c>
      <c r="AM417" s="1037">
        <v>2343</v>
      </c>
      <c r="AN417" s="1037">
        <v>4114</v>
      </c>
      <c r="AO417" s="288">
        <f t="shared" si="991"/>
        <v>5749</v>
      </c>
      <c r="AP417" s="1132">
        <v>5749</v>
      </c>
      <c r="AQ417" s="1037">
        <v>1947</v>
      </c>
      <c r="AR417" s="1037">
        <v>3466</v>
      </c>
      <c r="AS417" s="1037">
        <v>4075</v>
      </c>
      <c r="AT417" s="288">
        <f t="shared" si="992"/>
        <v>5035</v>
      </c>
      <c r="AU417" s="1132">
        <v>5035</v>
      </c>
      <c r="AV417" s="1037">
        <v>959</v>
      </c>
      <c r="AW417" s="1037">
        <v>1677</v>
      </c>
      <c r="AX417" s="1037">
        <v>2126</v>
      </c>
      <c r="AY417" s="288">
        <f t="shared" si="993"/>
        <v>2511</v>
      </c>
      <c r="AZ417" s="1132">
        <v>2511</v>
      </c>
      <c r="BA417" s="1037">
        <v>381</v>
      </c>
      <c r="BB417" s="1037">
        <v>705</v>
      </c>
      <c r="BC417" s="1037">
        <v>1047</v>
      </c>
      <c r="BD417" s="419">
        <f t="shared" si="994"/>
        <v>1310</v>
      </c>
      <c r="BE417" s="1132">
        <v>1310</v>
      </c>
      <c r="BF417" s="1037">
        <v>378</v>
      </c>
      <c r="BG417" s="1037">
        <v>930</v>
      </c>
      <c r="BH417" s="1038">
        <v>1451</v>
      </c>
      <c r="BI417" s="171">
        <f t="shared" si="995"/>
        <v>0</v>
      </c>
      <c r="BJ417" s="1133"/>
      <c r="BK417" s="171"/>
      <c r="BL417" s="171"/>
      <c r="BM417" s="171"/>
      <c r="BN417" s="171">
        <f t="shared" si="996"/>
        <v>0</v>
      </c>
      <c r="BO417" s="1133"/>
      <c r="BP417" s="1131"/>
      <c r="BQ417" s="1131"/>
      <c r="BR417" s="1133"/>
      <c r="BS417" s="32"/>
    </row>
    <row r="418" spans="1:71" s="673" customFormat="1" ht="15" hidden="1" outlineLevel="1">
      <c r="A418" s="114" t="s">
        <v>282</v>
      </c>
      <c r="B418" s="417"/>
      <c r="C418" s="1132">
        <v>11</v>
      </c>
      <c r="D418" s="1132">
        <v>71</v>
      </c>
      <c r="E418" s="1132">
        <v>269</v>
      </c>
      <c r="F418" s="1132">
        <v>46</v>
      </c>
      <c r="G418" s="1132">
        <v>102</v>
      </c>
      <c r="H418" s="1037">
        <v>6</v>
      </c>
      <c r="I418" s="1037">
        <v>41</v>
      </c>
      <c r="J418" s="1037">
        <v>74</v>
      </c>
      <c r="K418" s="288">
        <f t="shared" si="985"/>
        <v>116</v>
      </c>
      <c r="L418" s="1132">
        <v>116</v>
      </c>
      <c r="M418" s="1037">
        <v>59</v>
      </c>
      <c r="N418" s="1037">
        <v>127</v>
      </c>
      <c r="O418" s="1037">
        <v>231</v>
      </c>
      <c r="P418" s="288">
        <f t="shared" si="986"/>
        <v>265</v>
      </c>
      <c r="Q418" s="1132">
        <v>265</v>
      </c>
      <c r="R418" s="1037">
        <v>101</v>
      </c>
      <c r="S418" s="1037">
        <v>163</v>
      </c>
      <c r="T418" s="1037">
        <v>197</v>
      </c>
      <c r="U418" s="288">
        <f t="shared" si="987"/>
        <v>262</v>
      </c>
      <c r="V418" s="1132">
        <v>262</v>
      </c>
      <c r="W418" s="1037">
        <v>12</v>
      </c>
      <c r="X418" s="1037">
        <v>110</v>
      </c>
      <c r="Y418" s="1037">
        <v>191</v>
      </c>
      <c r="Z418" s="288">
        <f t="shared" si="988"/>
        <v>215</v>
      </c>
      <c r="AA418" s="1132">
        <v>215</v>
      </c>
      <c r="AB418" s="1037">
        <v>43</v>
      </c>
      <c r="AC418" s="1037">
        <v>68</v>
      </c>
      <c r="AD418" s="1037">
        <v>87</v>
      </c>
      <c r="AE418" s="288">
        <f t="shared" si="989"/>
        <v>201</v>
      </c>
      <c r="AF418" s="1132">
        <v>201</v>
      </c>
      <c r="AG418" s="1037">
        <v>29</v>
      </c>
      <c r="AH418" s="1037">
        <v>38</v>
      </c>
      <c r="AI418" s="1037">
        <v>76</v>
      </c>
      <c r="AJ418" s="288">
        <f t="shared" si="990"/>
        <v>184</v>
      </c>
      <c r="AK418" s="1132">
        <v>184</v>
      </c>
      <c r="AL418" s="1037">
        <v>4</v>
      </c>
      <c r="AM418" s="1037">
        <v>7</v>
      </c>
      <c r="AN418" s="1037">
        <v>48</v>
      </c>
      <c r="AO418" s="288">
        <f t="shared" si="991"/>
        <v>84</v>
      </c>
      <c r="AP418" s="1132">
        <v>84</v>
      </c>
      <c r="AQ418" s="1037">
        <v>12</v>
      </c>
      <c r="AR418" s="1037">
        <v>14</v>
      </c>
      <c r="AS418" s="1037">
        <v>27</v>
      </c>
      <c r="AT418" s="288">
        <f t="shared" si="992"/>
        <v>84</v>
      </c>
      <c r="AU418" s="1132">
        <v>84</v>
      </c>
      <c r="AV418" s="1037">
        <v>1</v>
      </c>
      <c r="AW418" s="1037">
        <v>99</v>
      </c>
      <c r="AX418" s="1037">
        <v>117</v>
      </c>
      <c r="AY418" s="288">
        <f t="shared" si="993"/>
        <v>118</v>
      </c>
      <c r="AZ418" s="1132">
        <v>118</v>
      </c>
      <c r="BA418" s="1037">
        <v>32</v>
      </c>
      <c r="BB418" s="1037">
        <v>32</v>
      </c>
      <c r="BC418" s="1037">
        <v>33</v>
      </c>
      <c r="BD418" s="419">
        <f t="shared" si="994"/>
        <v>34</v>
      </c>
      <c r="BE418" s="1132">
        <v>34</v>
      </c>
      <c r="BF418" s="1037">
        <v>8</v>
      </c>
      <c r="BG418" s="1037">
        <v>9</v>
      </c>
      <c r="BH418" s="1038">
        <v>17</v>
      </c>
      <c r="BI418" s="171">
        <f t="shared" si="995"/>
        <v>0</v>
      </c>
      <c r="BJ418" s="1133"/>
      <c r="BK418" s="171"/>
      <c r="BL418" s="171"/>
      <c r="BM418" s="171"/>
      <c r="BN418" s="171">
        <f t="shared" si="996"/>
        <v>0</v>
      </c>
      <c r="BO418" s="1133"/>
      <c r="BP418" s="1131"/>
      <c r="BQ418" s="1131"/>
      <c r="BR418" s="1133"/>
      <c r="BS418" s="32"/>
    </row>
    <row r="419" spans="1:71" s="673" customFormat="1" ht="15" hidden="1" outlineLevel="1">
      <c r="A419" s="114" t="s">
        <v>283</v>
      </c>
      <c r="B419" s="417"/>
      <c r="C419" s="1132">
        <v>2207</v>
      </c>
      <c r="D419" s="1132">
        <v>1540</v>
      </c>
      <c r="E419" s="1132">
        <v>1293</v>
      </c>
      <c r="F419" s="1132">
        <v>632</v>
      </c>
      <c r="G419" s="1132">
        <v>275</v>
      </c>
      <c r="H419" s="1037">
        <v>151</v>
      </c>
      <c r="I419" s="1037">
        <v>183</v>
      </c>
      <c r="J419" s="1037">
        <v>262</v>
      </c>
      <c r="K419" s="288">
        <f t="shared" si="985"/>
        <v>287</v>
      </c>
      <c r="L419" s="1132">
        <v>287</v>
      </c>
      <c r="M419" s="1037">
        <v>32</v>
      </c>
      <c r="N419" s="1037">
        <v>231</v>
      </c>
      <c r="O419" s="1037">
        <v>235</v>
      </c>
      <c r="P419" s="288">
        <f t="shared" si="986"/>
        <v>321</v>
      </c>
      <c r="Q419" s="1132">
        <v>321</v>
      </c>
      <c r="R419" s="1037">
        <v>225</v>
      </c>
      <c r="S419" s="1037">
        <v>373</v>
      </c>
      <c r="T419" s="1037">
        <v>496</v>
      </c>
      <c r="U419" s="288">
        <f t="shared" si="987"/>
        <v>641</v>
      </c>
      <c r="V419" s="1132">
        <v>641</v>
      </c>
      <c r="W419" s="1037">
        <v>38</v>
      </c>
      <c r="X419" s="1037">
        <v>150</v>
      </c>
      <c r="Y419" s="1037">
        <v>179</v>
      </c>
      <c r="Z419" s="288">
        <f t="shared" si="988"/>
        <v>392</v>
      </c>
      <c r="AA419" s="1132">
        <v>392</v>
      </c>
      <c r="AB419" s="1037">
        <v>105</v>
      </c>
      <c r="AC419" s="1037">
        <v>203</v>
      </c>
      <c r="AD419" s="1037">
        <v>275</v>
      </c>
      <c r="AE419" s="288">
        <f t="shared" si="989"/>
        <v>501</v>
      </c>
      <c r="AF419" s="1132">
        <v>501</v>
      </c>
      <c r="AG419" s="1037">
        <v>201</v>
      </c>
      <c r="AH419" s="1037">
        <v>459</v>
      </c>
      <c r="AI419" s="1037">
        <v>569</v>
      </c>
      <c r="AJ419" s="288">
        <f t="shared" si="990"/>
        <v>927</v>
      </c>
      <c r="AK419" s="1132">
        <v>927</v>
      </c>
      <c r="AL419" s="1037">
        <v>1483</v>
      </c>
      <c r="AM419" s="1037">
        <v>2777</v>
      </c>
      <c r="AN419" s="1037">
        <v>3123</v>
      </c>
      <c r="AO419" s="288">
        <f t="shared" si="991"/>
        <v>3729</v>
      </c>
      <c r="AP419" s="1132">
        <v>3729</v>
      </c>
      <c r="AQ419" s="1037">
        <v>147</v>
      </c>
      <c r="AR419" s="1037">
        <v>665</v>
      </c>
      <c r="AS419" s="1037">
        <v>690</v>
      </c>
      <c r="AT419" s="288">
        <f t="shared" si="992"/>
        <v>745</v>
      </c>
      <c r="AU419" s="1132">
        <v>745</v>
      </c>
      <c r="AV419" s="1037">
        <v>17</v>
      </c>
      <c r="AW419" s="1037">
        <v>986</v>
      </c>
      <c r="AX419" s="1037">
        <v>1068</v>
      </c>
      <c r="AY419" s="288">
        <f t="shared" si="993"/>
        <v>1294</v>
      </c>
      <c r="AZ419" s="1132">
        <v>1294</v>
      </c>
      <c r="BA419" s="1037">
        <v>342</v>
      </c>
      <c r="BB419" s="1037">
        <v>401</v>
      </c>
      <c r="BC419" s="1037">
        <v>551</v>
      </c>
      <c r="BD419" s="419">
        <f t="shared" si="994"/>
        <v>650</v>
      </c>
      <c r="BE419" s="1132">
        <v>650</v>
      </c>
      <c r="BF419" s="1037">
        <v>75</v>
      </c>
      <c r="BG419" s="1037">
        <v>99</v>
      </c>
      <c r="BH419" s="1038">
        <v>116</v>
      </c>
      <c r="BI419" s="171">
        <f t="shared" si="995"/>
        <v>0</v>
      </c>
      <c r="BJ419" s="1133"/>
      <c r="BK419" s="171"/>
      <c r="BL419" s="171"/>
      <c r="BM419" s="171"/>
      <c r="BN419" s="171">
        <f t="shared" si="996"/>
        <v>0</v>
      </c>
      <c r="BO419" s="1133"/>
      <c r="BP419" s="1131"/>
      <c r="BQ419" s="1131"/>
      <c r="BR419" s="1133"/>
      <c r="BS419" s="32"/>
    </row>
    <row r="420" spans="1:71" s="673" customFormat="1" ht="15" hidden="1" outlineLevel="1">
      <c r="A420" s="114" t="s">
        <v>284</v>
      </c>
      <c r="B420" s="417"/>
      <c r="C420" s="1132">
        <v>127</v>
      </c>
      <c r="D420" s="1132">
        <v>49</v>
      </c>
      <c r="E420" s="1132">
        <v>198</v>
      </c>
      <c r="F420" s="1132">
        <v>437</v>
      </c>
      <c r="G420" s="1132">
        <v>434</v>
      </c>
      <c r="H420" s="1037">
        <v>51</v>
      </c>
      <c r="I420" s="1037">
        <v>65</v>
      </c>
      <c r="J420" s="1037">
        <v>97</v>
      </c>
      <c r="K420" s="288">
        <f t="shared" si="985"/>
        <v>155</v>
      </c>
      <c r="L420" s="1132">
        <v>155</v>
      </c>
      <c r="M420" s="1037">
        <v>79</v>
      </c>
      <c r="N420" s="1037">
        <v>149</v>
      </c>
      <c r="O420" s="1037">
        <v>193</v>
      </c>
      <c r="P420" s="288">
        <f t="shared" si="986"/>
        <v>364</v>
      </c>
      <c r="Q420" s="1132">
        <v>364</v>
      </c>
      <c r="R420" s="1037">
        <v>55</v>
      </c>
      <c r="S420" s="1037">
        <v>139</v>
      </c>
      <c r="T420" s="1037">
        <v>193</v>
      </c>
      <c r="U420" s="288">
        <f t="shared" si="987"/>
        <v>348</v>
      </c>
      <c r="V420" s="1132">
        <v>348</v>
      </c>
      <c r="W420" s="1037">
        <v>14</v>
      </c>
      <c r="X420" s="1037">
        <v>50</v>
      </c>
      <c r="Y420" s="1037">
        <v>97</v>
      </c>
      <c r="Z420" s="288">
        <f t="shared" si="988"/>
        <v>216</v>
      </c>
      <c r="AA420" s="1132">
        <v>216</v>
      </c>
      <c r="AB420" s="1037">
        <v>32</v>
      </c>
      <c r="AC420" s="1037">
        <v>106</v>
      </c>
      <c r="AD420" s="1037">
        <v>150</v>
      </c>
      <c r="AE420" s="288">
        <f t="shared" si="989"/>
        <v>247</v>
      </c>
      <c r="AF420" s="1132">
        <v>247</v>
      </c>
      <c r="AG420" s="1037">
        <v>95</v>
      </c>
      <c r="AH420" s="1037">
        <v>139</v>
      </c>
      <c r="AI420" s="1037">
        <v>223</v>
      </c>
      <c r="AJ420" s="288">
        <f t="shared" si="990"/>
        <v>453</v>
      </c>
      <c r="AK420" s="1132">
        <v>453</v>
      </c>
      <c r="AL420" s="1037">
        <v>80</v>
      </c>
      <c r="AM420" s="1037">
        <v>342</v>
      </c>
      <c r="AN420" s="1037">
        <v>421</v>
      </c>
      <c r="AO420" s="288">
        <f t="shared" si="991"/>
        <v>656</v>
      </c>
      <c r="AP420" s="1132">
        <v>656</v>
      </c>
      <c r="AQ420" s="1037">
        <v>350</v>
      </c>
      <c r="AR420" s="1037">
        <v>452</v>
      </c>
      <c r="AS420" s="1037">
        <v>462</v>
      </c>
      <c r="AT420" s="288">
        <f t="shared" si="992"/>
        <v>523</v>
      </c>
      <c r="AU420" s="1132">
        <v>523</v>
      </c>
      <c r="AV420" s="1037">
        <v>60</v>
      </c>
      <c r="AW420" s="1037">
        <v>63</v>
      </c>
      <c r="AX420" s="1037">
        <v>112</v>
      </c>
      <c r="AY420" s="288">
        <f t="shared" si="993"/>
        <v>174</v>
      </c>
      <c r="AZ420" s="1132">
        <v>174</v>
      </c>
      <c r="BA420" s="1037">
        <v>56</v>
      </c>
      <c r="BB420" s="1037">
        <v>67</v>
      </c>
      <c r="BC420" s="1037">
        <v>95</v>
      </c>
      <c r="BD420" s="419">
        <f t="shared" si="994"/>
        <v>164</v>
      </c>
      <c r="BE420" s="1132">
        <v>164</v>
      </c>
      <c r="BF420" s="1037">
        <v>56</v>
      </c>
      <c r="BG420" s="1037">
        <v>81</v>
      </c>
      <c r="BH420" s="1038">
        <v>158</v>
      </c>
      <c r="BI420" s="171">
        <f t="shared" si="995"/>
        <v>0</v>
      </c>
      <c r="BJ420" s="1133"/>
      <c r="BK420" s="171"/>
      <c r="BL420" s="171"/>
      <c r="BM420" s="171"/>
      <c r="BN420" s="171">
        <f t="shared" si="996"/>
        <v>0</v>
      </c>
      <c r="BO420" s="1133"/>
      <c r="BP420" s="1131"/>
      <c r="BQ420" s="1131"/>
      <c r="BR420" s="1133"/>
      <c r="BS420" s="32"/>
    </row>
    <row r="421" spans="1:71" s="673" customFormat="1" ht="15" hidden="1" outlineLevel="1">
      <c r="A421" s="114" t="s">
        <v>285</v>
      </c>
      <c r="B421" s="417"/>
      <c r="C421" s="1131"/>
      <c r="D421" s="1131"/>
      <c r="E421" s="1131"/>
      <c r="F421" s="1131"/>
      <c r="G421" s="1131"/>
      <c r="H421" s="419"/>
      <c r="I421" s="419"/>
      <c r="J421" s="419"/>
      <c r="K421" s="288">
        <f t="shared" si="985"/>
        <v>0</v>
      </c>
      <c r="L421" s="1131"/>
      <c r="M421" s="419"/>
      <c r="N421" s="419"/>
      <c r="O421" s="419"/>
      <c r="P421" s="288">
        <f t="shared" si="986"/>
        <v>374</v>
      </c>
      <c r="Q421" s="1132">
        <v>374</v>
      </c>
      <c r="R421" s="1037">
        <v>4</v>
      </c>
      <c r="S421" s="419"/>
      <c r="T421" s="419"/>
      <c r="U421" s="288">
        <f t="shared" si="987"/>
        <v>319</v>
      </c>
      <c r="V421" s="1132">
        <v>319</v>
      </c>
      <c r="W421" s="1037">
        <v>174</v>
      </c>
      <c r="X421" s="1037">
        <v>360</v>
      </c>
      <c r="Y421" s="1037">
        <v>565</v>
      </c>
      <c r="Z421" s="288">
        <f t="shared" si="988"/>
        <v>789</v>
      </c>
      <c r="AA421" s="1132">
        <v>789</v>
      </c>
      <c r="AB421" s="1037">
        <v>208</v>
      </c>
      <c r="AC421" s="1037">
        <v>446</v>
      </c>
      <c r="AD421" s="1037">
        <v>688</v>
      </c>
      <c r="AE421" s="288">
        <f t="shared" si="989"/>
        <v>883</v>
      </c>
      <c r="AF421" s="1132">
        <v>883</v>
      </c>
      <c r="AG421" s="1037">
        <v>79</v>
      </c>
      <c r="AH421" s="1037">
        <v>329</v>
      </c>
      <c r="AI421" s="1037">
        <v>486</v>
      </c>
      <c r="AJ421" s="288">
        <f t="shared" si="990"/>
        <v>771</v>
      </c>
      <c r="AK421" s="1132">
        <v>771</v>
      </c>
      <c r="AL421" s="1037">
        <v>248</v>
      </c>
      <c r="AM421" s="1037">
        <v>404</v>
      </c>
      <c r="AN421" s="1037">
        <v>673</v>
      </c>
      <c r="AO421" s="288">
        <f t="shared" si="991"/>
        <v>988</v>
      </c>
      <c r="AP421" s="1132">
        <v>988</v>
      </c>
      <c r="AQ421" s="1037">
        <v>269</v>
      </c>
      <c r="AR421" s="1037">
        <v>530</v>
      </c>
      <c r="AS421" s="1037">
        <v>562</v>
      </c>
      <c r="AT421" s="288">
        <f t="shared" si="992"/>
        <v>584</v>
      </c>
      <c r="AU421" s="1132">
        <v>584</v>
      </c>
      <c r="AV421" s="1037">
        <v>59</v>
      </c>
      <c r="AW421" s="1037">
        <v>116</v>
      </c>
      <c r="AX421" s="1037">
        <v>128</v>
      </c>
      <c r="AY421" s="288">
        <f t="shared" si="993"/>
        <v>141</v>
      </c>
      <c r="AZ421" s="1132">
        <v>141</v>
      </c>
      <c r="BA421" s="1037">
        <v>33</v>
      </c>
      <c r="BB421" s="1037">
        <v>43</v>
      </c>
      <c r="BC421" s="1037">
        <v>49</v>
      </c>
      <c r="BD421" s="419">
        <f t="shared" si="994"/>
        <v>78</v>
      </c>
      <c r="BE421" s="1132">
        <v>78</v>
      </c>
      <c r="BF421" s="1037">
        <v>5</v>
      </c>
      <c r="BG421" s="1037">
        <v>15</v>
      </c>
      <c r="BH421" s="1038">
        <v>25</v>
      </c>
      <c r="BI421" s="171">
        <f t="shared" si="995"/>
        <v>0</v>
      </c>
      <c r="BJ421" s="1133"/>
      <c r="BK421" s="171"/>
      <c r="BL421" s="171"/>
      <c r="BM421" s="171"/>
      <c r="BN421" s="171">
        <f t="shared" si="996"/>
        <v>0</v>
      </c>
      <c r="BO421" s="1133"/>
      <c r="BP421" s="1131"/>
      <c r="BQ421" s="1131"/>
      <c r="BR421" s="1133"/>
      <c r="BS421" s="32"/>
    </row>
    <row r="422" spans="1:71" s="673" customFormat="1" ht="15" hidden="1" outlineLevel="1">
      <c r="A422" s="114" t="s">
        <v>286</v>
      </c>
      <c r="B422" s="417"/>
      <c r="C422" s="1132">
        <v>1</v>
      </c>
      <c r="D422" s="1132">
        <v>4</v>
      </c>
      <c r="E422" s="1132">
        <v>3</v>
      </c>
      <c r="F422" s="1132">
        <v>4</v>
      </c>
      <c r="G422" s="1132">
        <v>34</v>
      </c>
      <c r="H422" s="1037">
        <v>1</v>
      </c>
      <c r="I422" s="1037">
        <v>3</v>
      </c>
      <c r="J422" s="1037">
        <v>11</v>
      </c>
      <c r="K422" s="288">
        <f t="shared" si="985"/>
        <v>14</v>
      </c>
      <c r="L422" s="1132">
        <v>14</v>
      </c>
      <c r="M422" s="1037">
        <v>23</v>
      </c>
      <c r="N422" s="1037">
        <v>92</v>
      </c>
      <c r="O422" s="1037">
        <v>96</v>
      </c>
      <c r="P422" s="288">
        <f t="shared" si="986"/>
        <v>117</v>
      </c>
      <c r="Q422" s="1132">
        <v>117</v>
      </c>
      <c r="R422" s="1037">
        <v>5</v>
      </c>
      <c r="S422" s="1037">
        <v>43</v>
      </c>
      <c r="T422" s="1037">
        <v>45</v>
      </c>
      <c r="U422" s="288">
        <f t="shared" si="987"/>
        <v>55</v>
      </c>
      <c r="V422" s="1132">
        <v>55</v>
      </c>
      <c r="W422" s="1037">
        <v>24</v>
      </c>
      <c r="X422" s="1037">
        <v>53</v>
      </c>
      <c r="Y422" s="1037">
        <v>54</v>
      </c>
      <c r="Z422" s="288">
        <f t="shared" si="988"/>
        <v>55</v>
      </c>
      <c r="AA422" s="1132">
        <v>55</v>
      </c>
      <c r="AB422" s="1037">
        <v>0</v>
      </c>
      <c r="AC422" s="1037">
        <v>1</v>
      </c>
      <c r="AD422" s="1037">
        <v>3</v>
      </c>
      <c r="AE422" s="288">
        <f t="shared" si="989"/>
        <v>3</v>
      </c>
      <c r="AF422" s="1132">
        <v>3</v>
      </c>
      <c r="AG422" s="1037">
        <v>1</v>
      </c>
      <c r="AH422" s="1037">
        <v>2</v>
      </c>
      <c r="AI422" s="1037">
        <v>3</v>
      </c>
      <c r="AJ422" s="288">
        <f t="shared" si="990"/>
        <v>4</v>
      </c>
      <c r="AK422" s="1132">
        <v>4</v>
      </c>
      <c r="AL422" s="1037">
        <v>1</v>
      </c>
      <c r="AM422" s="1037">
        <v>4</v>
      </c>
      <c r="AN422" s="1037">
        <v>7</v>
      </c>
      <c r="AO422" s="288">
        <f t="shared" si="991"/>
        <v>5</v>
      </c>
      <c r="AP422" s="1132">
        <v>5</v>
      </c>
      <c r="AQ422" s="419"/>
      <c r="AR422" s="1037">
        <v>1</v>
      </c>
      <c r="AS422" s="1037">
        <v>25</v>
      </c>
      <c r="AT422" s="288">
        <f t="shared" si="992"/>
        <v>46</v>
      </c>
      <c r="AU422" s="1132">
        <v>46</v>
      </c>
      <c r="AV422" s="419"/>
      <c r="AW422" s="1037">
        <v>24</v>
      </c>
      <c r="AX422" s="1037">
        <v>31</v>
      </c>
      <c r="AY422" s="288">
        <f t="shared" si="993"/>
        <v>31</v>
      </c>
      <c r="AZ422" s="1132">
        <v>31</v>
      </c>
      <c r="BA422" s="1037">
        <v>1</v>
      </c>
      <c r="BB422" s="1037">
        <v>2</v>
      </c>
      <c r="BC422" s="1037">
        <v>2</v>
      </c>
      <c r="BD422" s="419">
        <f t="shared" si="994"/>
        <v>3</v>
      </c>
      <c r="BE422" s="1132">
        <v>3</v>
      </c>
      <c r="BF422" s="1037">
        <v>0</v>
      </c>
      <c r="BG422" s="1037">
        <v>25</v>
      </c>
      <c r="BH422" s="1038">
        <v>25</v>
      </c>
      <c r="BI422" s="171">
        <f t="shared" si="995"/>
        <v>0</v>
      </c>
      <c r="BJ422" s="1133"/>
      <c r="BK422" s="171"/>
      <c r="BL422" s="171"/>
      <c r="BM422" s="171"/>
      <c r="BN422" s="171">
        <f t="shared" si="996"/>
        <v>0</v>
      </c>
      <c r="BO422" s="1133"/>
      <c r="BP422" s="1131"/>
      <c r="BQ422" s="1131"/>
      <c r="BR422" s="1133"/>
      <c r="BS422" s="32"/>
    </row>
    <row r="423" spans="1:71" s="673" customFormat="1" ht="15" hidden="1" outlineLevel="1">
      <c r="A423" s="114" t="s">
        <v>287</v>
      </c>
      <c r="B423" s="417"/>
      <c r="C423" s="1132">
        <v>48</v>
      </c>
      <c r="D423" s="1131"/>
      <c r="E423" s="1131"/>
      <c r="F423" s="1131"/>
      <c r="G423" s="1131"/>
      <c r="H423" s="419"/>
      <c r="I423" s="419"/>
      <c r="J423" s="419"/>
      <c r="K423" s="288">
        <f t="shared" si="985"/>
        <v>0</v>
      </c>
      <c r="L423" s="1131"/>
      <c r="M423" s="419"/>
      <c r="N423" s="419"/>
      <c r="O423" s="419"/>
      <c r="P423" s="288">
        <f t="shared" si="986"/>
        <v>0</v>
      </c>
      <c r="Q423" s="1131"/>
      <c r="R423" s="419"/>
      <c r="S423" s="419"/>
      <c r="T423" s="419"/>
      <c r="U423" s="288">
        <f t="shared" si="987"/>
        <v>0</v>
      </c>
      <c r="V423" s="1131"/>
      <c r="W423" s="419"/>
      <c r="X423" s="419"/>
      <c r="Y423" s="419"/>
      <c r="Z423" s="288">
        <f t="shared" si="988"/>
        <v>0</v>
      </c>
      <c r="AA423" s="1131"/>
      <c r="AB423" s="419"/>
      <c r="AC423" s="419"/>
      <c r="AD423" s="419"/>
      <c r="AE423" s="288">
        <f t="shared" si="989"/>
        <v>0</v>
      </c>
      <c r="AF423" s="1131"/>
      <c r="AG423" s="419"/>
      <c r="AH423" s="419"/>
      <c r="AI423" s="419"/>
      <c r="AJ423" s="288">
        <f t="shared" si="990"/>
        <v>0</v>
      </c>
      <c r="AK423" s="1131"/>
      <c r="AL423" s="419"/>
      <c r="AM423" s="419"/>
      <c r="AN423" s="419"/>
      <c r="AO423" s="288">
        <f t="shared" si="991"/>
        <v>0</v>
      </c>
      <c r="AP423" s="1131"/>
      <c r="AQ423" s="419"/>
      <c r="AR423" s="419"/>
      <c r="AS423" s="419"/>
      <c r="AT423" s="288">
        <f t="shared" si="992"/>
        <v>0</v>
      </c>
      <c r="AU423" s="1131"/>
      <c r="AV423" s="419"/>
      <c r="AW423" s="419"/>
      <c r="AX423" s="419"/>
      <c r="AY423" s="288">
        <f t="shared" si="993"/>
        <v>0</v>
      </c>
      <c r="AZ423" s="1131"/>
      <c r="BA423" s="419"/>
      <c r="BB423" s="419"/>
      <c r="BC423" s="419"/>
      <c r="BD423" s="419">
        <f t="shared" si="994"/>
        <v>0</v>
      </c>
      <c r="BE423" s="1131"/>
      <c r="BF423" s="419"/>
      <c r="BG423" s="419"/>
      <c r="BH423" s="464"/>
      <c r="BI423" s="171">
        <f t="shared" si="995"/>
        <v>0</v>
      </c>
      <c r="BJ423" s="1133"/>
      <c r="BK423" s="171"/>
      <c r="BL423" s="171"/>
      <c r="BM423" s="171"/>
      <c r="BN423" s="171">
        <f t="shared" si="996"/>
        <v>0</v>
      </c>
      <c r="BO423" s="1133"/>
      <c r="BP423" s="1131"/>
      <c r="BQ423" s="1131"/>
      <c r="BR423" s="1133"/>
      <c r="BS423" s="32"/>
    </row>
    <row r="424" spans="1:71" s="673" customFormat="1" ht="15" hidden="1" outlineLevel="1">
      <c r="A424" s="114" t="s">
        <v>288</v>
      </c>
      <c r="B424" s="417"/>
      <c r="C424" s="1131"/>
      <c r="D424" s="1132">
        <v>0</v>
      </c>
      <c r="E424" s="1132">
        <v>9</v>
      </c>
      <c r="F424" s="1132">
        <v>322</v>
      </c>
      <c r="G424" s="1132">
        <v>0</v>
      </c>
      <c r="H424" s="419"/>
      <c r="I424" s="1037">
        <v>1078</v>
      </c>
      <c r="J424" s="1037">
        <v>1078</v>
      </c>
      <c r="K424" s="288">
        <f t="shared" si="985"/>
        <v>0</v>
      </c>
      <c r="L424" s="1132">
        <v>0</v>
      </c>
      <c r="M424" s="419"/>
      <c r="N424" s="419"/>
      <c r="O424" s="419"/>
      <c r="P424" s="288">
        <f t="shared" si="986"/>
        <v>7</v>
      </c>
      <c r="Q424" s="1132">
        <v>7</v>
      </c>
      <c r="R424" s="419"/>
      <c r="S424" s="419"/>
      <c r="T424" s="419"/>
      <c r="U424" s="288">
        <f t="shared" si="987"/>
        <v>0</v>
      </c>
      <c r="V424" s="1132">
        <v>0</v>
      </c>
      <c r="W424" s="419"/>
      <c r="X424" s="419"/>
      <c r="Y424" s="419"/>
      <c r="Z424" s="288">
        <f t="shared" si="988"/>
        <v>0</v>
      </c>
      <c r="AA424" s="1131"/>
      <c r="AB424" s="419"/>
      <c r="AC424" s="419"/>
      <c r="AD424" s="419"/>
      <c r="AE424" s="288">
        <f t="shared" si="989"/>
        <v>0</v>
      </c>
      <c r="AF424" s="1131"/>
      <c r="AG424" s="419"/>
      <c r="AH424" s="419"/>
      <c r="AI424" s="419"/>
      <c r="AJ424" s="288">
        <f t="shared" si="990"/>
        <v>0</v>
      </c>
      <c r="AK424" s="1131"/>
      <c r="AL424" s="419"/>
      <c r="AM424" s="419"/>
      <c r="AN424" s="419"/>
      <c r="AO424" s="288">
        <f t="shared" si="991"/>
        <v>3</v>
      </c>
      <c r="AP424" s="1132">
        <v>3</v>
      </c>
      <c r="AQ424" s="419"/>
      <c r="AR424" s="1037">
        <v>3547</v>
      </c>
      <c r="AS424" s="1037">
        <v>3547</v>
      </c>
      <c r="AT424" s="288">
        <f t="shared" si="992"/>
        <v>3581</v>
      </c>
      <c r="AU424" s="1132">
        <v>3581</v>
      </c>
      <c r="AV424" s="419"/>
      <c r="AW424" s="419"/>
      <c r="AX424" s="419"/>
      <c r="AY424" s="288">
        <f t="shared" si="993"/>
        <v>0</v>
      </c>
      <c r="AZ424" s="1131"/>
      <c r="BA424" s="419"/>
      <c r="BB424" s="419"/>
      <c r="BC424" s="419"/>
      <c r="BD424" s="419">
        <f t="shared" si="994"/>
        <v>0</v>
      </c>
      <c r="BE424" s="1131"/>
      <c r="BF424" s="419"/>
      <c r="BG424" s="419"/>
      <c r="BH424" s="464"/>
      <c r="BI424" s="171">
        <f t="shared" si="995"/>
        <v>0</v>
      </c>
      <c r="BJ424" s="1133"/>
      <c r="BK424" s="171"/>
      <c r="BL424" s="171"/>
      <c r="BM424" s="171"/>
      <c r="BN424" s="171">
        <f t="shared" si="996"/>
        <v>0</v>
      </c>
      <c r="BO424" s="1133"/>
      <c r="BP424" s="1131"/>
      <c r="BQ424" s="1131"/>
      <c r="BR424" s="1133"/>
      <c r="BS424" s="32"/>
    </row>
    <row r="425" spans="1:71" s="673" customFormat="1" ht="15" hidden="1" outlineLevel="1">
      <c r="A425" s="114" t="s">
        <v>289</v>
      </c>
      <c r="B425" s="417"/>
      <c r="C425" s="1132">
        <v>-23</v>
      </c>
      <c r="D425" s="1132">
        <v>95</v>
      </c>
      <c r="E425" s="1132">
        <v>-5</v>
      </c>
      <c r="F425" s="1132">
        <v>-34</v>
      </c>
      <c r="G425" s="1132">
        <v>-5</v>
      </c>
      <c r="H425" s="419"/>
      <c r="I425" s="419"/>
      <c r="J425" s="419"/>
      <c r="K425" s="288">
        <f t="shared" si="985"/>
        <v>1078</v>
      </c>
      <c r="L425" s="1132">
        <v>1078</v>
      </c>
      <c r="M425" s="419"/>
      <c r="N425" s="419"/>
      <c r="O425" s="419"/>
      <c r="P425" s="288">
        <f t="shared" si="986"/>
        <v>-49</v>
      </c>
      <c r="Q425" s="1132">
        <v>-49</v>
      </c>
      <c r="R425" s="419"/>
      <c r="S425" s="419"/>
      <c r="T425" s="419"/>
      <c r="U425" s="288">
        <f t="shared" si="987"/>
        <v>0</v>
      </c>
      <c r="V425" s="1132">
        <v>0</v>
      </c>
      <c r="W425" s="419"/>
      <c r="X425" s="419"/>
      <c r="Y425" s="419"/>
      <c r="Z425" s="288">
        <f t="shared" si="988"/>
        <v>0</v>
      </c>
      <c r="AA425" s="1131"/>
      <c r="AB425" s="419"/>
      <c r="AC425" s="419"/>
      <c r="AD425" s="419"/>
      <c r="AE425" s="288">
        <f t="shared" si="989"/>
        <v>13</v>
      </c>
      <c r="AF425" s="1132">
        <v>13</v>
      </c>
      <c r="AG425" s="419"/>
      <c r="AH425" s="419"/>
      <c r="AI425" s="419"/>
      <c r="AJ425" s="288">
        <f t="shared" si="990"/>
        <v>0</v>
      </c>
      <c r="AK425" s="1131"/>
      <c r="AL425" s="419"/>
      <c r="AM425" s="419"/>
      <c r="AN425" s="419"/>
      <c r="AO425" s="288">
        <f t="shared" si="991"/>
        <v>-425</v>
      </c>
      <c r="AP425" s="1132">
        <v>-425</v>
      </c>
      <c r="AQ425" s="419"/>
      <c r="AR425" s="1037">
        <v>-2060</v>
      </c>
      <c r="AS425" s="1037">
        <v>-2060</v>
      </c>
      <c r="AT425" s="288">
        <f t="shared" si="992"/>
        <v>-2058</v>
      </c>
      <c r="AU425" s="1132">
        <v>-2058</v>
      </c>
      <c r="AV425" s="419"/>
      <c r="AW425" s="419"/>
      <c r="AX425" s="419"/>
      <c r="AY425" s="288">
        <f t="shared" si="993"/>
        <v>0</v>
      </c>
      <c r="AZ425" s="1131"/>
      <c r="BA425" s="419"/>
      <c r="BB425" s="419"/>
      <c r="BC425" s="1037">
        <v>26</v>
      </c>
      <c r="BD425" s="419">
        <f t="shared" si="994"/>
        <v>26</v>
      </c>
      <c r="BE425" s="1132">
        <v>26</v>
      </c>
      <c r="BF425" s="419"/>
      <c r="BG425" s="419"/>
      <c r="BH425" s="464"/>
      <c r="BI425" s="171">
        <f t="shared" si="995"/>
        <v>0</v>
      </c>
      <c r="BJ425" s="1133"/>
      <c r="BK425" s="171"/>
      <c r="BL425" s="171"/>
      <c r="BM425" s="171"/>
      <c r="BN425" s="171">
        <f t="shared" si="996"/>
        <v>0</v>
      </c>
      <c r="BO425" s="1133"/>
      <c r="BP425" s="1131"/>
      <c r="BQ425" s="1131"/>
      <c r="BR425" s="1133"/>
      <c r="BS425" s="32"/>
    </row>
    <row r="426" spans="1:71" s="673" customFormat="1" ht="15" hidden="1" outlineLevel="1">
      <c r="A426" s="114" t="s">
        <v>290</v>
      </c>
      <c r="B426" s="417"/>
      <c r="C426" s="1132">
        <v>0</v>
      </c>
      <c r="D426" s="1132">
        <v>-1008</v>
      </c>
      <c r="E426" s="1132">
        <v>-1563</v>
      </c>
      <c r="F426" s="1132">
        <v>-1849</v>
      </c>
      <c r="G426" s="1132">
        <v>-1426</v>
      </c>
      <c r="H426" s="1037">
        <v>-244</v>
      </c>
      <c r="I426" s="1037">
        <v>-650</v>
      </c>
      <c r="J426" s="1037">
        <v>-1075</v>
      </c>
      <c r="K426" s="288">
        <f t="shared" si="985"/>
        <v>-1692</v>
      </c>
      <c r="L426" s="1132">
        <v>-1692</v>
      </c>
      <c r="M426" s="1037">
        <v>-258</v>
      </c>
      <c r="N426" s="1037">
        <v>-808</v>
      </c>
      <c r="O426" s="1037">
        <v>-1167</v>
      </c>
      <c r="P426" s="288">
        <f t="shared" si="986"/>
        <v>-1530</v>
      </c>
      <c r="Q426" s="1132">
        <v>-1530</v>
      </c>
      <c r="R426" s="1037">
        <v>-239</v>
      </c>
      <c r="S426" s="1037">
        <v>-869</v>
      </c>
      <c r="T426" s="1037">
        <v>-1405</v>
      </c>
      <c r="U426" s="288">
        <f t="shared" si="987"/>
        <v>-2254</v>
      </c>
      <c r="V426" s="1132">
        <v>-2254</v>
      </c>
      <c r="W426" s="1037">
        <v>-910</v>
      </c>
      <c r="X426" s="1037">
        <v>-1780</v>
      </c>
      <c r="Y426" s="1037">
        <v>-2330</v>
      </c>
      <c r="Z426" s="288">
        <f t="shared" si="988"/>
        <v>-2979</v>
      </c>
      <c r="AA426" s="1132">
        <v>-2979</v>
      </c>
      <c r="AB426" s="1037">
        <v>-606</v>
      </c>
      <c r="AC426" s="1037">
        <v>-1261</v>
      </c>
      <c r="AD426" s="1037">
        <v>-1674</v>
      </c>
      <c r="AE426" s="288">
        <f t="shared" si="989"/>
        <v>-2117</v>
      </c>
      <c r="AF426" s="1132">
        <v>-2117</v>
      </c>
      <c r="AG426" s="1037">
        <v>-391</v>
      </c>
      <c r="AH426" s="1037">
        <v>-697</v>
      </c>
      <c r="AI426" s="1037">
        <v>-1062</v>
      </c>
      <c r="AJ426" s="288">
        <f t="shared" si="990"/>
        <v>-1398</v>
      </c>
      <c r="AK426" s="1132">
        <v>-1398</v>
      </c>
      <c r="AL426" s="1037">
        <v>-414</v>
      </c>
      <c r="AM426" s="1037">
        <v>-603</v>
      </c>
      <c r="AN426" s="1037">
        <v>-878</v>
      </c>
      <c r="AO426" s="288">
        <f t="shared" si="991"/>
        <v>-1502</v>
      </c>
      <c r="AP426" s="1132">
        <v>-1502</v>
      </c>
      <c r="AQ426" s="1037">
        <v>-527</v>
      </c>
      <c r="AR426" s="1037">
        <v>-987</v>
      </c>
      <c r="AS426" s="1037">
        <v>-1480</v>
      </c>
      <c r="AT426" s="288">
        <f t="shared" si="992"/>
        <v>-2155</v>
      </c>
      <c r="AU426" s="1132">
        <v>-2155</v>
      </c>
      <c r="AV426" s="1037">
        <v>-357</v>
      </c>
      <c r="AW426" s="1037">
        <v>-813</v>
      </c>
      <c r="AX426" s="1037">
        <v>-1061</v>
      </c>
      <c r="AY426" s="288">
        <f t="shared" si="993"/>
        <v>-1515</v>
      </c>
      <c r="AZ426" s="1132">
        <v>-1515</v>
      </c>
      <c r="BA426" s="1037">
        <v>-648</v>
      </c>
      <c r="BB426" s="1037">
        <v>-951</v>
      </c>
      <c r="BC426" s="1037">
        <v>-1223</v>
      </c>
      <c r="BD426" s="419">
        <f t="shared" si="994"/>
        <v>-1466</v>
      </c>
      <c r="BE426" s="1132">
        <v>-1466</v>
      </c>
      <c r="BF426" s="1037">
        <v>-605</v>
      </c>
      <c r="BG426" s="1037">
        <v>-1078</v>
      </c>
      <c r="BH426" s="1038">
        <v>-1383</v>
      </c>
      <c r="BI426" s="171">
        <f t="shared" si="995"/>
        <v>0</v>
      </c>
      <c r="BJ426" s="1133"/>
      <c r="BK426" s="171"/>
      <c r="BL426" s="171"/>
      <c r="BM426" s="171"/>
      <c r="BN426" s="171">
        <f t="shared" si="996"/>
        <v>0</v>
      </c>
      <c r="BO426" s="1133"/>
      <c r="BP426" s="1131"/>
      <c r="BQ426" s="1131"/>
      <c r="BR426" s="1133"/>
      <c r="BS426" s="32"/>
    </row>
    <row r="427" spans="1:71" s="673" customFormat="1" ht="15" hidden="1" outlineLevel="1">
      <c r="A427" s="114" t="s">
        <v>291</v>
      </c>
      <c r="B427" s="417"/>
      <c r="C427" s="1132">
        <v>0</v>
      </c>
      <c r="D427" s="1132">
        <v>1018</v>
      </c>
      <c r="E427" s="1132">
        <v>1391</v>
      </c>
      <c r="F427" s="1132">
        <v>1857</v>
      </c>
      <c r="G427" s="1132">
        <v>1904</v>
      </c>
      <c r="H427" s="1037">
        <v>442</v>
      </c>
      <c r="I427" s="1037">
        <v>813</v>
      </c>
      <c r="J427" s="1037">
        <v>1153</v>
      </c>
      <c r="K427" s="288">
        <f t="shared" si="985"/>
        <v>1417</v>
      </c>
      <c r="L427" s="1132">
        <v>1417</v>
      </c>
      <c r="M427" s="1037">
        <v>149</v>
      </c>
      <c r="N427" s="1037">
        <v>439</v>
      </c>
      <c r="O427" s="1037">
        <v>685</v>
      </c>
      <c r="P427" s="288">
        <f t="shared" si="986"/>
        <v>855</v>
      </c>
      <c r="Q427" s="1132">
        <v>855</v>
      </c>
      <c r="R427" s="1037">
        <v>290</v>
      </c>
      <c r="S427" s="1037">
        <v>771</v>
      </c>
      <c r="T427" s="1037">
        <v>1381</v>
      </c>
      <c r="U427" s="288">
        <f t="shared" si="987"/>
        <v>1890</v>
      </c>
      <c r="V427" s="1132">
        <v>1890</v>
      </c>
      <c r="W427" s="1037">
        <v>1058</v>
      </c>
      <c r="X427" s="1037">
        <v>1738</v>
      </c>
      <c r="Y427" s="1037">
        <v>2343</v>
      </c>
      <c r="Z427" s="288">
        <f t="shared" si="988"/>
        <v>2774</v>
      </c>
      <c r="AA427" s="1132">
        <v>2774</v>
      </c>
      <c r="AB427" s="1037">
        <v>478</v>
      </c>
      <c r="AC427" s="1037">
        <v>1035</v>
      </c>
      <c r="AD427" s="1037">
        <v>1485</v>
      </c>
      <c r="AE427" s="288">
        <f t="shared" si="989"/>
        <v>1948</v>
      </c>
      <c r="AF427" s="1132">
        <v>1948</v>
      </c>
      <c r="AG427" s="1037">
        <v>373</v>
      </c>
      <c r="AH427" s="1037">
        <v>702</v>
      </c>
      <c r="AI427" s="1037">
        <v>1081</v>
      </c>
      <c r="AJ427" s="288">
        <f t="shared" si="990"/>
        <v>1409</v>
      </c>
      <c r="AK427" s="1132">
        <v>1409</v>
      </c>
      <c r="AL427" s="1037">
        <v>370</v>
      </c>
      <c r="AM427" s="1037">
        <v>540</v>
      </c>
      <c r="AN427" s="1037">
        <v>818</v>
      </c>
      <c r="AO427" s="288">
        <f t="shared" si="991"/>
        <v>1221</v>
      </c>
      <c r="AP427" s="1132">
        <v>1221</v>
      </c>
      <c r="AQ427" s="1037">
        <v>557</v>
      </c>
      <c r="AR427" s="1037">
        <v>1061</v>
      </c>
      <c r="AS427" s="1037">
        <v>1579</v>
      </c>
      <c r="AT427" s="288">
        <f t="shared" si="992"/>
        <v>2112</v>
      </c>
      <c r="AU427" s="1132">
        <v>2112</v>
      </c>
      <c r="AV427" s="1037">
        <v>217</v>
      </c>
      <c r="AW427" s="1037">
        <v>568</v>
      </c>
      <c r="AX427" s="1037">
        <v>801</v>
      </c>
      <c r="AY427" s="288">
        <f t="shared" si="993"/>
        <v>1335</v>
      </c>
      <c r="AZ427" s="1132">
        <v>1335</v>
      </c>
      <c r="BA427" s="1037">
        <v>554</v>
      </c>
      <c r="BB427" s="1037">
        <v>1104</v>
      </c>
      <c r="BC427" s="1037">
        <v>1832</v>
      </c>
      <c r="BD427" s="419">
        <f t="shared" si="994"/>
        <v>2228</v>
      </c>
      <c r="BE427" s="1132">
        <v>2228</v>
      </c>
      <c r="BF427" s="1037">
        <v>532</v>
      </c>
      <c r="BG427" s="1037">
        <v>1135</v>
      </c>
      <c r="BH427" s="1038">
        <v>1587</v>
      </c>
      <c r="BI427" s="171">
        <f t="shared" si="995"/>
        <v>0</v>
      </c>
      <c r="BJ427" s="1133"/>
      <c r="BK427" s="171"/>
      <c r="BL427" s="171"/>
      <c r="BM427" s="171"/>
      <c r="BN427" s="171">
        <f t="shared" si="996"/>
        <v>0</v>
      </c>
      <c r="BO427" s="1133"/>
      <c r="BP427" s="1131"/>
      <c r="BQ427" s="1131"/>
      <c r="BR427" s="1133"/>
      <c r="BS427" s="32"/>
    </row>
    <row r="428" spans="1:71" s="673" customFormat="1" ht="15" hidden="1" outlineLevel="1">
      <c r="A428" s="114" t="s">
        <v>292</v>
      </c>
      <c r="B428" s="417"/>
      <c r="C428" s="1132">
        <v>-63</v>
      </c>
      <c r="D428" s="1132">
        <v>8</v>
      </c>
      <c r="E428" s="1132">
        <v>-14</v>
      </c>
      <c r="F428" s="1132">
        <v>-23</v>
      </c>
      <c r="G428" s="1132">
        <v>8</v>
      </c>
      <c r="H428" s="1037">
        <v>12</v>
      </c>
      <c r="I428" s="1037">
        <v>55</v>
      </c>
      <c r="J428" s="1037">
        <v>83</v>
      </c>
      <c r="K428" s="288">
        <f t="shared" si="985"/>
        <v>99</v>
      </c>
      <c r="L428" s="1132">
        <v>99</v>
      </c>
      <c r="M428" s="1037">
        <v>-54</v>
      </c>
      <c r="N428" s="1037">
        <v>-58</v>
      </c>
      <c r="O428" s="1037">
        <v>-100</v>
      </c>
      <c r="P428" s="288">
        <f t="shared" si="986"/>
        <v>-10</v>
      </c>
      <c r="Q428" s="1132">
        <v>-10</v>
      </c>
      <c r="R428" s="1037">
        <v>-63</v>
      </c>
      <c r="S428" s="1037">
        <v>-282</v>
      </c>
      <c r="T428" s="1037">
        <v>-370</v>
      </c>
      <c r="U428" s="288">
        <f t="shared" si="987"/>
        <v>-83</v>
      </c>
      <c r="V428" s="1132">
        <v>-83</v>
      </c>
      <c r="W428" s="1037">
        <v>1</v>
      </c>
      <c r="X428" s="1037">
        <v>7</v>
      </c>
      <c r="Y428" s="1037">
        <v>6</v>
      </c>
      <c r="Z428" s="288">
        <f t="shared" si="988"/>
        <v>2</v>
      </c>
      <c r="AA428" s="1132">
        <v>2</v>
      </c>
      <c r="AB428" s="1037">
        <v>16</v>
      </c>
      <c r="AC428" s="1037">
        <v>11</v>
      </c>
      <c r="AD428" s="1037">
        <v>4</v>
      </c>
      <c r="AE428" s="288">
        <f t="shared" si="989"/>
        <v>30</v>
      </c>
      <c r="AF428" s="1132">
        <v>30</v>
      </c>
      <c r="AG428" s="1040">
        <v>1</v>
      </c>
      <c r="AH428" s="419"/>
      <c r="AI428" s="1037">
        <v>1</v>
      </c>
      <c r="AJ428" s="288">
        <f t="shared" si="990"/>
        <v>-3</v>
      </c>
      <c r="AK428" s="1132">
        <v>-3</v>
      </c>
      <c r="AL428" s="1040">
        <v>2</v>
      </c>
      <c r="AM428" s="1037">
        <v>8</v>
      </c>
      <c r="AN428" s="1037">
        <v>10</v>
      </c>
      <c r="AO428" s="288">
        <f t="shared" si="991"/>
        <v>-1</v>
      </c>
      <c r="AP428" s="1132">
        <v>-1</v>
      </c>
      <c r="AQ428" s="1040">
        <v>3</v>
      </c>
      <c r="AR428" s="1037">
        <v>21</v>
      </c>
      <c r="AS428" s="1037">
        <v>32</v>
      </c>
      <c r="AT428" s="288">
        <f t="shared" si="992"/>
        <v>32</v>
      </c>
      <c r="AU428" s="1132">
        <v>32</v>
      </c>
      <c r="AV428" s="1040">
        <v>-5</v>
      </c>
      <c r="AW428" s="1037">
        <v>-4</v>
      </c>
      <c r="AX428" s="1037">
        <v>-6</v>
      </c>
      <c r="AY428" s="288">
        <f t="shared" si="993"/>
        <v>-4</v>
      </c>
      <c r="AZ428" s="1132">
        <v>-4</v>
      </c>
      <c r="BA428" s="1037">
        <v>0</v>
      </c>
      <c r="BB428" s="1037">
        <v>-2</v>
      </c>
      <c r="BC428" s="1037">
        <v>-6</v>
      </c>
      <c r="BD428" s="419">
        <f t="shared" si="994"/>
        <v>-6</v>
      </c>
      <c r="BE428" s="1132">
        <v>-6</v>
      </c>
      <c r="BF428" s="1037">
        <v>0</v>
      </c>
      <c r="BG428" s="1037">
        <v>-1</v>
      </c>
      <c r="BH428" s="1038">
        <v>-6</v>
      </c>
      <c r="BI428" s="171">
        <f t="shared" si="995"/>
        <v>0</v>
      </c>
      <c r="BJ428" s="1133"/>
      <c r="BK428" s="171"/>
      <c r="BL428" s="171"/>
      <c r="BM428" s="171"/>
      <c r="BN428" s="171">
        <f t="shared" si="996"/>
        <v>0</v>
      </c>
      <c r="BO428" s="1133"/>
      <c r="BP428" s="1131"/>
      <c r="BQ428" s="1131"/>
      <c r="BR428" s="1133"/>
      <c r="BS428" s="32"/>
    </row>
    <row r="429" spans="1:71" s="674" customFormat="1" ht="15" hidden="1" outlineLevel="1">
      <c r="A429" s="100" t="s">
        <v>293</v>
      </c>
      <c r="B429" s="516"/>
      <c r="C429" s="1138">
        <f t="shared" si="997" ref="C429:AU429">SUM(C411:C428)</f>
        <v>-783</v>
      </c>
      <c r="D429" s="1138">
        <f t="shared" si="997"/>
        <v>-1705</v>
      </c>
      <c r="E429" s="1138">
        <f t="shared" si="997"/>
        <v>-2439</v>
      </c>
      <c r="F429" s="1138">
        <f t="shared" si="997"/>
        <v>-1425</v>
      </c>
      <c r="G429" s="1138">
        <f t="shared" si="997"/>
        <v>-2915</v>
      </c>
      <c r="H429" s="96">
        <f t="shared" si="997"/>
        <v>-426</v>
      </c>
      <c r="I429" s="96">
        <f t="shared" si="997"/>
        <v>-970</v>
      </c>
      <c r="J429" s="96">
        <f t="shared" si="997"/>
        <v>-2435</v>
      </c>
      <c r="K429" s="96">
        <f t="shared" si="997"/>
        <v>-3619</v>
      </c>
      <c r="L429" s="1138">
        <f t="shared" si="997"/>
        <v>-3619</v>
      </c>
      <c r="M429" s="96">
        <f t="shared" si="997"/>
        <v>-968</v>
      </c>
      <c r="N429" s="96">
        <f t="shared" si="997"/>
        <v>-2114</v>
      </c>
      <c r="O429" s="96">
        <f t="shared" si="997"/>
        <v>-3415</v>
      </c>
      <c r="P429" s="96">
        <f t="shared" si="997"/>
        <v>-4573</v>
      </c>
      <c r="Q429" s="1138">
        <f t="shared" si="997"/>
        <v>-4573</v>
      </c>
      <c r="R429" s="96">
        <f t="shared" si="997"/>
        <v>-1269</v>
      </c>
      <c r="S429" s="96">
        <f t="shared" si="997"/>
        <v>-1747</v>
      </c>
      <c r="T429" s="96">
        <f t="shared" si="997"/>
        <v>-2446</v>
      </c>
      <c r="U429" s="96">
        <f t="shared" si="997"/>
        <v>-2981</v>
      </c>
      <c r="V429" s="1138">
        <f t="shared" si="997"/>
        <v>-2981</v>
      </c>
      <c r="W429" s="96">
        <f t="shared" si="997"/>
        <v>-1194</v>
      </c>
      <c r="X429" s="96">
        <f t="shared" si="997"/>
        <v>-1994</v>
      </c>
      <c r="Y429" s="96">
        <f t="shared" si="997"/>
        <v>-2230</v>
      </c>
      <c r="Z429" s="96">
        <f t="shared" si="997"/>
        <v>-3292</v>
      </c>
      <c r="AA429" s="1138">
        <f t="shared" si="997"/>
        <v>-3292</v>
      </c>
      <c r="AB429" s="96">
        <f t="shared" si="997"/>
        <v>-1656</v>
      </c>
      <c r="AC429" s="96">
        <f t="shared" si="997"/>
        <v>-2485</v>
      </c>
      <c r="AD429" s="96">
        <f t="shared" si="997"/>
        <v>-3375</v>
      </c>
      <c r="AE429" s="96">
        <f t="shared" si="997"/>
        <v>-5350</v>
      </c>
      <c r="AF429" s="1138">
        <f t="shared" si="997"/>
        <v>-5350</v>
      </c>
      <c r="AG429" s="96">
        <f t="shared" si="997"/>
        <v>-684</v>
      </c>
      <c r="AH429" s="96">
        <f t="shared" si="997"/>
        <v>-1052</v>
      </c>
      <c r="AI429" s="96">
        <f t="shared" si="997"/>
        <v>-1778</v>
      </c>
      <c r="AJ429" s="96">
        <f t="shared" si="997"/>
        <v>-3065</v>
      </c>
      <c r="AK429" s="1138">
        <f t="shared" si="997"/>
        <v>-3065</v>
      </c>
      <c r="AL429" s="96">
        <f t="shared" si="998" ref="AL429:AQ429">SUM(AL411:AL428)</f>
        <v>-1653</v>
      </c>
      <c r="AM429" s="96">
        <f t="shared" si="998"/>
        <v>-1296</v>
      </c>
      <c r="AN429" s="96">
        <f t="shared" si="998"/>
        <v>-772</v>
      </c>
      <c r="AO429" s="96">
        <f t="shared" si="998"/>
        <v>-1564</v>
      </c>
      <c r="AP429" s="1138">
        <f t="shared" si="998"/>
        <v>-1564</v>
      </c>
      <c r="AQ429" s="96">
        <f t="shared" si="998"/>
        <v>-938</v>
      </c>
      <c r="AR429" s="96">
        <f t="shared" si="997"/>
        <v>661</v>
      </c>
      <c r="AS429" s="96">
        <f t="shared" si="997"/>
        <v>-103</v>
      </c>
      <c r="AT429" s="96">
        <f t="shared" si="997"/>
        <v>-436</v>
      </c>
      <c r="AU429" s="1138">
        <f t="shared" si="997"/>
        <v>-436</v>
      </c>
      <c r="AV429" s="96">
        <f>SUM(AV411:AV428)</f>
        <v>-1111</v>
      </c>
      <c r="AW429" s="96">
        <f>SUM(AW411:AW428)</f>
        <v>-501</v>
      </c>
      <c r="AX429" s="96">
        <f>SUM(AX411:AX428)</f>
        <v>-1062</v>
      </c>
      <c r="AY429" s="96">
        <f>SUM(AY411:AY428)</f>
        <v>-1051</v>
      </c>
      <c r="AZ429" s="1138">
        <f>SUM(AZ411:AZ428)</f>
        <v>-1051</v>
      </c>
      <c r="BA429" s="596">
        <f t="shared" si="999" ref="BA429:BJ429">SUM(BA411:BA428)</f>
        <v>73</v>
      </c>
      <c r="BB429" s="596">
        <f t="shared" si="999"/>
        <v>368</v>
      </c>
      <c r="BC429" s="96">
        <f>SUM(BC411:BC428)</f>
        <v>459</v>
      </c>
      <c r="BD429" s="596">
        <f t="shared" si="999"/>
        <v>414</v>
      </c>
      <c r="BE429" s="1138">
        <f t="shared" si="999"/>
        <v>414</v>
      </c>
      <c r="BF429" s="596">
        <f>SUM(BF411:BF428)</f>
        <v>-155</v>
      </c>
      <c r="BG429" s="596">
        <f>SUM(BG411:BG428)</f>
        <v>-6</v>
      </c>
      <c r="BH429" s="874">
        <f>SUM(BH411:BH428)</f>
        <v>116</v>
      </c>
      <c r="BI429" s="596">
        <f>SUM(BI411:BI428)</f>
        <v>0</v>
      </c>
      <c r="BJ429" s="1139">
        <f t="shared" si="999"/>
        <v>0</v>
      </c>
      <c r="BK429" s="596">
        <f t="shared" si="1000" ref="BK429:BR429">SUM(BK411:BK428)</f>
        <v>0</v>
      </c>
      <c r="BL429" s="596">
        <f t="shared" si="1000"/>
        <v>0</v>
      </c>
      <c r="BM429" s="596">
        <f t="shared" si="1000"/>
        <v>0</v>
      </c>
      <c r="BN429" s="596">
        <f t="shared" si="1000"/>
        <v>0</v>
      </c>
      <c r="BO429" s="1139">
        <f t="shared" si="1000"/>
        <v>0</v>
      </c>
      <c r="BP429" s="1139">
        <f t="shared" si="1000"/>
        <v>0</v>
      </c>
      <c r="BQ429" s="1139">
        <f t="shared" si="1000"/>
        <v>0</v>
      </c>
      <c r="BR429" s="1139">
        <f t="shared" si="1000"/>
        <v>0</v>
      </c>
      <c r="BS429" s="37"/>
    </row>
    <row r="430" spans="1:71" s="674" customFormat="1" ht="15" hidden="1" outlineLevel="1">
      <c r="A430" s="485"/>
      <c r="B430" s="509"/>
      <c r="C430" s="1147"/>
      <c r="D430" s="1147"/>
      <c r="E430" s="1147"/>
      <c r="F430" s="1147"/>
      <c r="G430" s="1147"/>
      <c r="H430" s="426"/>
      <c r="I430" s="426"/>
      <c r="J430" s="426"/>
      <c r="K430" s="426"/>
      <c r="L430" s="1147"/>
      <c r="M430" s="426"/>
      <c r="N430" s="426"/>
      <c r="O430" s="426"/>
      <c r="P430" s="426"/>
      <c r="Q430" s="1147"/>
      <c r="R430" s="426"/>
      <c r="S430" s="426"/>
      <c r="T430" s="426"/>
      <c r="U430" s="426"/>
      <c r="V430" s="1147"/>
      <c r="W430" s="426"/>
      <c r="X430" s="426"/>
      <c r="Y430" s="426"/>
      <c r="Z430" s="426"/>
      <c r="AA430" s="1147"/>
      <c r="AB430" s="426"/>
      <c r="AC430" s="426"/>
      <c r="AD430" s="426"/>
      <c r="AE430" s="426"/>
      <c r="AF430" s="1147"/>
      <c r="AG430" s="426"/>
      <c r="AH430" s="426"/>
      <c r="AI430" s="426"/>
      <c r="AJ430" s="426"/>
      <c r="AK430" s="1147"/>
      <c r="AL430" s="426"/>
      <c r="AM430" s="426"/>
      <c r="AN430" s="426"/>
      <c r="AO430" s="426"/>
      <c r="AP430" s="1147"/>
      <c r="AQ430" s="426"/>
      <c r="AR430" s="426"/>
      <c r="AS430" s="426"/>
      <c r="AT430" s="426"/>
      <c r="AU430" s="1147"/>
      <c r="AV430" s="426"/>
      <c r="AW430" s="426"/>
      <c r="AX430" s="426"/>
      <c r="AY430" s="426"/>
      <c r="AZ430" s="1147"/>
      <c r="BA430" s="426"/>
      <c r="BB430" s="426"/>
      <c r="BC430" s="426"/>
      <c r="BD430" s="426"/>
      <c r="BE430" s="1147"/>
      <c r="BF430" s="426"/>
      <c r="BG430" s="426"/>
      <c r="BH430" s="487"/>
      <c r="BI430" s="159"/>
      <c r="BJ430" s="1148"/>
      <c r="BK430" s="159"/>
      <c r="BL430" s="159"/>
      <c r="BM430" s="159"/>
      <c r="BN430" s="159"/>
      <c r="BO430" s="1148"/>
      <c r="BP430" s="1147"/>
      <c r="BQ430" s="1147"/>
      <c r="BR430" s="1148"/>
      <c r="BS430" s="37"/>
    </row>
    <row r="431" spans="1:71" s="674" customFormat="1" ht="15" hidden="1" outlineLevel="1">
      <c r="A431" s="101" t="s">
        <v>294</v>
      </c>
      <c r="B431" s="509"/>
      <c r="C431" s="1147"/>
      <c r="D431" s="1147"/>
      <c r="E431" s="1147"/>
      <c r="F431" s="1147"/>
      <c r="G431" s="1147"/>
      <c r="H431" s="426"/>
      <c r="I431" s="426"/>
      <c r="J431" s="426"/>
      <c r="K431" s="426"/>
      <c r="L431" s="1147"/>
      <c r="M431" s="426"/>
      <c r="N431" s="426"/>
      <c r="O431" s="426"/>
      <c r="P431" s="426"/>
      <c r="Q431" s="1147"/>
      <c r="R431" s="426"/>
      <c r="S431" s="426"/>
      <c r="T431" s="426"/>
      <c r="U431" s="426"/>
      <c r="V431" s="1147"/>
      <c r="W431" s="426"/>
      <c r="X431" s="426"/>
      <c r="Y431" s="426"/>
      <c r="Z431" s="426"/>
      <c r="AA431" s="1147"/>
      <c r="AB431" s="426"/>
      <c r="AC431" s="426"/>
      <c r="AD431" s="426"/>
      <c r="AE431" s="426"/>
      <c r="AF431" s="1147"/>
      <c r="AG431" s="426"/>
      <c r="AH431" s="426"/>
      <c r="AI431" s="426"/>
      <c r="AJ431" s="426"/>
      <c r="AK431" s="1147"/>
      <c r="AL431" s="426"/>
      <c r="AM431" s="426"/>
      <c r="AN431" s="426"/>
      <c r="AO431" s="426"/>
      <c r="AP431" s="1147"/>
      <c r="AQ431" s="426"/>
      <c r="AR431" s="426"/>
      <c r="AS431" s="426"/>
      <c r="AT431" s="426"/>
      <c r="AU431" s="1147"/>
      <c r="AV431" s="426"/>
      <c r="AW431" s="426"/>
      <c r="AX431" s="426"/>
      <c r="AY431" s="426"/>
      <c r="AZ431" s="1147"/>
      <c r="BA431" s="426"/>
      <c r="BB431" s="426"/>
      <c r="BC431" s="426"/>
      <c r="BD431" s="426"/>
      <c r="BE431" s="1147"/>
      <c r="BF431" s="426"/>
      <c r="BG431" s="426"/>
      <c r="BH431" s="487"/>
      <c r="BI431" s="159"/>
      <c r="BJ431" s="1148"/>
      <c r="BK431" s="159"/>
      <c r="BL431" s="159"/>
      <c r="BM431" s="159"/>
      <c r="BN431" s="159"/>
      <c r="BO431" s="1148"/>
      <c r="BP431" s="1147"/>
      <c r="BQ431" s="1147"/>
      <c r="BR431" s="1148"/>
      <c r="BS431" s="37"/>
    </row>
    <row r="432" spans="1:71" s="673" customFormat="1" ht="15" hidden="1" outlineLevel="1">
      <c r="A432" s="114" t="s">
        <v>295</v>
      </c>
      <c r="B432" s="417"/>
      <c r="C432" s="1132">
        <v>1434</v>
      </c>
      <c r="D432" s="1132">
        <v>2282</v>
      </c>
      <c r="E432" s="1132">
        <v>3326</v>
      </c>
      <c r="F432" s="1132">
        <v>2993</v>
      </c>
      <c r="G432" s="1132">
        <v>4233</v>
      </c>
      <c r="H432" s="1037">
        <v>967</v>
      </c>
      <c r="I432" s="1037">
        <v>1916</v>
      </c>
      <c r="J432" s="1037">
        <v>2725</v>
      </c>
      <c r="K432" s="288">
        <f t="shared" si="1001" ref="K432:K447">L432</f>
        <v>3696</v>
      </c>
      <c r="L432" s="1132">
        <v>3696</v>
      </c>
      <c r="M432" s="1037">
        <v>813</v>
      </c>
      <c r="N432" s="1037">
        <v>2012</v>
      </c>
      <c r="O432" s="1037">
        <v>3333</v>
      </c>
      <c r="P432" s="288">
        <f t="shared" si="1002" ref="P432:P447">Q432</f>
        <v>4485</v>
      </c>
      <c r="Q432" s="1132">
        <v>4485</v>
      </c>
      <c r="R432" s="1037">
        <v>1435</v>
      </c>
      <c r="S432" s="1037">
        <v>2533</v>
      </c>
      <c r="T432" s="1037">
        <v>3474</v>
      </c>
      <c r="U432" s="288">
        <f t="shared" si="1003" ref="U432:U447">V432</f>
        <v>4585</v>
      </c>
      <c r="V432" s="1132">
        <v>4585</v>
      </c>
      <c r="W432" s="1037">
        <v>1290</v>
      </c>
      <c r="X432" s="1037">
        <v>2556</v>
      </c>
      <c r="Y432" s="1037">
        <v>3432</v>
      </c>
      <c r="Z432" s="288">
        <f t="shared" si="1004" ref="Z432:Z447">AA432</f>
        <v>4341</v>
      </c>
      <c r="AA432" s="1132">
        <v>4341</v>
      </c>
      <c r="AB432" s="1037">
        <v>1148</v>
      </c>
      <c r="AC432" s="1037">
        <v>2547</v>
      </c>
      <c r="AD432" s="1037">
        <v>3925</v>
      </c>
      <c r="AE432" s="288">
        <f t="shared" si="1005" ref="AE432:AE447">AF432</f>
        <v>5632</v>
      </c>
      <c r="AF432" s="1132">
        <v>5632</v>
      </c>
      <c r="AG432" s="1037">
        <v>1395</v>
      </c>
      <c r="AH432" s="1037">
        <v>2744</v>
      </c>
      <c r="AI432" s="1037">
        <v>3821</v>
      </c>
      <c r="AJ432" s="288">
        <f t="shared" si="1006" ref="AJ432:AJ447">AK432</f>
        <v>4960</v>
      </c>
      <c r="AK432" s="1132">
        <v>4960</v>
      </c>
      <c r="AL432" s="1037">
        <v>1410</v>
      </c>
      <c r="AM432" s="1037">
        <v>2097</v>
      </c>
      <c r="AN432" s="1037">
        <v>2968</v>
      </c>
      <c r="AO432" s="288">
        <f>AP432</f>
        <v>4287</v>
      </c>
      <c r="AP432" s="1132">
        <v>4287</v>
      </c>
      <c r="AQ432" s="1037">
        <v>1179</v>
      </c>
      <c r="AR432" s="1037">
        <v>2403</v>
      </c>
      <c r="AS432" s="1037">
        <v>2403</v>
      </c>
      <c r="AT432" s="288">
        <f t="shared" si="1007" ref="AT432:AT447">AU432</f>
        <v>2403</v>
      </c>
      <c r="AU432" s="1132">
        <v>2403</v>
      </c>
      <c r="AV432" s="419"/>
      <c r="AW432" s="419"/>
      <c r="AX432" s="419"/>
      <c r="AY432" s="288">
        <f t="shared" si="1008" ref="AY432:AY447">AZ432</f>
        <v>0</v>
      </c>
      <c r="AZ432" s="1131"/>
      <c r="BA432" s="419"/>
      <c r="BB432" s="419"/>
      <c r="BC432" s="419"/>
      <c r="BD432" s="419">
        <f>BE432</f>
        <v>0</v>
      </c>
      <c r="BE432" s="1131"/>
      <c r="BF432" s="419"/>
      <c r="BG432" s="419"/>
      <c r="BH432" s="464"/>
      <c r="BI432" s="171">
        <f>BJ432</f>
        <v>0</v>
      </c>
      <c r="BJ432" s="1133"/>
      <c r="BK432" s="171"/>
      <c r="BL432" s="171"/>
      <c r="BM432" s="171"/>
      <c r="BN432" s="171">
        <f>BO432</f>
        <v>0</v>
      </c>
      <c r="BO432" s="1133"/>
      <c r="BP432" s="1131"/>
      <c r="BQ432" s="1131"/>
      <c r="BR432" s="1133"/>
      <c r="BS432" s="32"/>
    </row>
    <row r="433" spans="1:71" s="673" customFormat="1" ht="15" hidden="1" outlineLevel="1">
      <c r="A433" s="114" t="s">
        <v>296</v>
      </c>
      <c r="B433" s="417"/>
      <c r="C433" s="1132">
        <v>-1273</v>
      </c>
      <c r="D433" s="1132">
        <v>-1221</v>
      </c>
      <c r="E433" s="1132">
        <v>-1321</v>
      </c>
      <c r="F433" s="1132">
        <v>-1504</v>
      </c>
      <c r="G433" s="1132">
        <v>-1588</v>
      </c>
      <c r="H433" s="1037">
        <v>-395</v>
      </c>
      <c r="I433" s="1037">
        <v>-827</v>
      </c>
      <c r="J433" s="1037">
        <v>-1289</v>
      </c>
      <c r="K433" s="288">
        <f t="shared" si="1001"/>
        <v>-1773</v>
      </c>
      <c r="L433" s="1132">
        <v>-1773</v>
      </c>
      <c r="M433" s="1037">
        <v>-443</v>
      </c>
      <c r="N433" s="1037">
        <v>-937</v>
      </c>
      <c r="O433" s="1037">
        <v>-1487</v>
      </c>
      <c r="P433" s="288">
        <f t="shared" si="1002"/>
        <v>-2025</v>
      </c>
      <c r="Q433" s="1132">
        <v>-2025</v>
      </c>
      <c r="R433" s="1037">
        <v>-503</v>
      </c>
      <c r="S433" s="1037">
        <v>-1118</v>
      </c>
      <c r="T433" s="1037">
        <v>-1726</v>
      </c>
      <c r="U433" s="288">
        <f t="shared" si="1003"/>
        <v>-2275</v>
      </c>
      <c r="V433" s="1132">
        <v>-2275</v>
      </c>
      <c r="W433" s="1037">
        <v>-567</v>
      </c>
      <c r="X433" s="1037">
        <v>-1161</v>
      </c>
      <c r="Y433" s="1037">
        <v>-1725</v>
      </c>
      <c r="Z433" s="288">
        <f t="shared" si="1004"/>
        <v>-2405</v>
      </c>
      <c r="AA433" s="1132">
        <v>-2405</v>
      </c>
      <c r="AB433" s="1037">
        <v>-647</v>
      </c>
      <c r="AC433" s="1037">
        <v>-1372</v>
      </c>
      <c r="AD433" s="1037">
        <v>-2101</v>
      </c>
      <c r="AE433" s="288">
        <f t="shared" si="1005"/>
        <v>-2916</v>
      </c>
      <c r="AF433" s="1132">
        <v>-2916</v>
      </c>
      <c r="AG433" s="1037">
        <v>-782</v>
      </c>
      <c r="AH433" s="1037">
        <v>-1668</v>
      </c>
      <c r="AI433" s="1037">
        <v>-2502</v>
      </c>
      <c r="AJ433" s="288">
        <f t="shared" si="1006"/>
        <v>-3358</v>
      </c>
      <c r="AK433" s="1132">
        <v>-3358</v>
      </c>
      <c r="AL433" s="1037">
        <v>-813</v>
      </c>
      <c r="AM433" s="1037">
        <v>-1641</v>
      </c>
      <c r="AN433" s="1037">
        <v>-2506</v>
      </c>
      <c r="AO433" s="288">
        <f>AP433</f>
        <v>-3711</v>
      </c>
      <c r="AP433" s="1132">
        <v>-3711</v>
      </c>
      <c r="AQ433" s="1037">
        <v>-1148</v>
      </c>
      <c r="AR433" s="1037">
        <v>-1931</v>
      </c>
      <c r="AS433" s="1037">
        <v>-1931</v>
      </c>
      <c r="AT433" s="288">
        <f t="shared" si="1007"/>
        <v>-1931</v>
      </c>
      <c r="AU433" s="1132">
        <v>-1931</v>
      </c>
      <c r="AV433" s="419"/>
      <c r="AW433" s="419"/>
      <c r="AX433" s="419"/>
      <c r="AY433" s="288">
        <f t="shared" si="1008"/>
        <v>0</v>
      </c>
      <c r="AZ433" s="1131"/>
      <c r="BA433" s="419"/>
      <c r="BB433" s="419"/>
      <c r="BC433" s="419"/>
      <c r="BD433" s="419">
        <f>BE433</f>
        <v>0</v>
      </c>
      <c r="BE433" s="1131"/>
      <c r="BF433" s="419"/>
      <c r="BG433" s="419"/>
      <c r="BH433" s="464"/>
      <c r="BI433" s="171">
        <f>BJ433</f>
        <v>0</v>
      </c>
      <c r="BJ433" s="1133"/>
      <c r="BK433" s="171"/>
      <c r="BL433" s="171"/>
      <c r="BM433" s="171"/>
      <c r="BN433" s="171">
        <f>BO433</f>
        <v>0</v>
      </c>
      <c r="BO433" s="1133"/>
      <c r="BP433" s="1131"/>
      <c r="BQ433" s="1131"/>
      <c r="BR433" s="1133"/>
      <c r="BS433" s="32"/>
    </row>
    <row r="434" spans="1:71" s="673" customFormat="1" ht="15" hidden="1" outlineLevel="1">
      <c r="A434" s="114" t="s">
        <v>510</v>
      </c>
      <c r="B434" s="417"/>
      <c r="C434" s="1131"/>
      <c r="D434" s="1131"/>
      <c r="E434" s="1131"/>
      <c r="F434" s="1131"/>
      <c r="G434" s="1131"/>
      <c r="H434" s="419"/>
      <c r="I434" s="419"/>
      <c r="J434" s="419"/>
      <c r="K434" s="419"/>
      <c r="L434" s="1131"/>
      <c r="M434" s="419"/>
      <c r="N434" s="419"/>
      <c r="O434" s="419"/>
      <c r="P434" s="419"/>
      <c r="Q434" s="1131"/>
      <c r="R434" s="419"/>
      <c r="S434" s="419"/>
      <c r="T434" s="419"/>
      <c r="U434" s="419"/>
      <c r="V434" s="1131"/>
      <c r="W434" s="419"/>
      <c r="X434" s="419"/>
      <c r="Y434" s="419"/>
      <c r="Z434" s="419"/>
      <c r="AA434" s="1131"/>
      <c r="AB434" s="419"/>
      <c r="AC434" s="419"/>
      <c r="AD434" s="419"/>
      <c r="AE434" s="419"/>
      <c r="AF434" s="1131"/>
      <c r="AG434" s="419"/>
      <c r="AH434" s="419"/>
      <c r="AI434" s="419"/>
      <c r="AJ434" s="419"/>
      <c r="AK434" s="1131"/>
      <c r="AL434" s="419"/>
      <c r="AM434" s="1037">
        <v>-78</v>
      </c>
      <c r="AN434" s="1037">
        <v>-246</v>
      </c>
      <c r="AO434" s="288">
        <f>AP434</f>
        <v>-492</v>
      </c>
      <c r="AP434" s="1132">
        <v>-492</v>
      </c>
      <c r="AQ434" s="1037">
        <v>-207</v>
      </c>
      <c r="AR434" s="1037">
        <v>-311</v>
      </c>
      <c r="AS434" s="1037">
        <v>-311</v>
      </c>
      <c r="AT434" s="288">
        <f t="shared" si="1007"/>
        <v>-311</v>
      </c>
      <c r="AU434" s="1132">
        <v>-311</v>
      </c>
      <c r="AV434" s="419"/>
      <c r="AW434" s="419"/>
      <c r="AX434" s="419"/>
      <c r="AY434" s="288">
        <f t="shared" si="1008"/>
        <v>0</v>
      </c>
      <c r="AZ434" s="1131"/>
      <c r="BA434" s="419"/>
      <c r="BB434" s="419"/>
      <c r="BC434" s="419"/>
      <c r="BD434" s="419">
        <f>BE434</f>
        <v>0</v>
      </c>
      <c r="BE434" s="1131"/>
      <c r="BF434" s="419"/>
      <c r="BG434" s="419"/>
      <c r="BH434" s="464"/>
      <c r="BI434" s="171">
        <f>BJ434</f>
        <v>0</v>
      </c>
      <c r="BJ434" s="1133"/>
      <c r="BK434" s="171"/>
      <c r="BL434" s="171"/>
      <c r="BM434" s="171"/>
      <c r="BN434" s="171">
        <f>BO434</f>
        <v>0</v>
      </c>
      <c r="BO434" s="1133"/>
      <c r="BP434" s="1131"/>
      <c r="BQ434" s="1131"/>
      <c r="BR434" s="1133"/>
      <c r="BS434" s="32"/>
    </row>
    <row r="435" spans="1:71" s="673" customFormat="1" ht="15" hidden="1" outlineLevel="1">
      <c r="A435" s="114" t="s">
        <v>514</v>
      </c>
      <c r="B435" s="417"/>
      <c r="C435" s="1131"/>
      <c r="D435" s="1131"/>
      <c r="E435" s="1131"/>
      <c r="F435" s="1131"/>
      <c r="G435" s="1131"/>
      <c r="H435" s="419"/>
      <c r="I435" s="419"/>
      <c r="J435" s="419"/>
      <c r="K435" s="419"/>
      <c r="L435" s="1131"/>
      <c r="M435" s="419"/>
      <c r="N435" s="419"/>
      <c r="O435" s="419"/>
      <c r="P435" s="419"/>
      <c r="Q435" s="1131"/>
      <c r="R435" s="419"/>
      <c r="S435" s="419"/>
      <c r="T435" s="419"/>
      <c r="U435" s="419"/>
      <c r="V435" s="1131"/>
      <c r="W435" s="419"/>
      <c r="X435" s="419"/>
      <c r="Y435" s="419"/>
      <c r="Z435" s="419"/>
      <c r="AA435" s="1131"/>
      <c r="AB435" s="419"/>
      <c r="AC435" s="419"/>
      <c r="AD435" s="419"/>
      <c r="AE435" s="419"/>
      <c r="AF435" s="1131"/>
      <c r="AG435" s="419"/>
      <c r="AH435" s="419"/>
      <c r="AI435" s="419"/>
      <c r="AJ435" s="419"/>
      <c r="AK435" s="1131"/>
      <c r="AL435" s="419"/>
      <c r="AM435" s="419"/>
      <c r="AN435" s="419"/>
      <c r="AO435" s="288">
        <f>AP435</f>
        <v>206</v>
      </c>
      <c r="AP435" s="1132">
        <v>206</v>
      </c>
      <c r="AQ435" s="1037">
        <v>167</v>
      </c>
      <c r="AR435" s="1037">
        <v>282</v>
      </c>
      <c r="AS435" s="1037">
        <v>282</v>
      </c>
      <c r="AT435" s="288">
        <f t="shared" si="1007"/>
        <v>282</v>
      </c>
      <c r="AU435" s="1132">
        <v>282</v>
      </c>
      <c r="AV435" s="419"/>
      <c r="AW435" s="419"/>
      <c r="AX435" s="419"/>
      <c r="AY435" s="419">
        <f>AZ435</f>
        <v>0</v>
      </c>
      <c r="AZ435" s="1131"/>
      <c r="BA435" s="419"/>
      <c r="BB435" s="419"/>
      <c r="BC435" s="419"/>
      <c r="BD435" s="419"/>
      <c r="BE435" s="1131"/>
      <c r="BF435" s="419"/>
      <c r="BG435" s="419"/>
      <c r="BH435" s="464"/>
      <c r="BI435" s="171"/>
      <c r="BJ435" s="1133"/>
      <c r="BK435" s="171"/>
      <c r="BL435" s="171"/>
      <c r="BM435" s="171"/>
      <c r="BN435" s="171"/>
      <c r="BO435" s="1133"/>
      <c r="BP435" s="1131"/>
      <c r="BQ435" s="1131"/>
      <c r="BR435" s="1133"/>
      <c r="BS435" s="32"/>
    </row>
    <row r="436" spans="1:71" s="673" customFormat="1" ht="15" hidden="1" outlineLevel="1">
      <c r="A436" s="114" t="s">
        <v>297</v>
      </c>
      <c r="B436" s="417"/>
      <c r="C436" s="1132">
        <v>-10</v>
      </c>
      <c r="D436" s="1132">
        <v>7</v>
      </c>
      <c r="E436" s="1132">
        <v>39</v>
      </c>
      <c r="F436" s="1132">
        <v>36</v>
      </c>
      <c r="G436" s="1132">
        <v>32</v>
      </c>
      <c r="H436" s="1037">
        <v>6</v>
      </c>
      <c r="I436" s="1037">
        <v>16</v>
      </c>
      <c r="J436" s="1037">
        <v>36</v>
      </c>
      <c r="K436" s="288">
        <f t="shared" si="1001"/>
        <v>43</v>
      </c>
      <c r="L436" s="1132">
        <v>43</v>
      </c>
      <c r="M436" s="1037">
        <v>10</v>
      </c>
      <c r="N436" s="1037">
        <v>20</v>
      </c>
      <c r="O436" s="1037">
        <v>32</v>
      </c>
      <c r="P436" s="288">
        <f t="shared" si="1002"/>
        <v>43</v>
      </c>
      <c r="Q436" s="1132">
        <v>43</v>
      </c>
      <c r="R436" s="1037">
        <v>9</v>
      </c>
      <c r="S436" s="1037">
        <v>17</v>
      </c>
      <c r="T436" s="1037">
        <v>29</v>
      </c>
      <c r="U436" s="288">
        <f t="shared" si="1003"/>
        <v>42</v>
      </c>
      <c r="V436" s="1132">
        <v>42</v>
      </c>
      <c r="W436" s="1037">
        <v>17</v>
      </c>
      <c r="X436" s="1037">
        <v>30</v>
      </c>
      <c r="Y436" s="1037">
        <v>43</v>
      </c>
      <c r="Z436" s="288">
        <f t="shared" si="1004"/>
        <v>54</v>
      </c>
      <c r="AA436" s="1132">
        <v>54</v>
      </c>
      <c r="AB436" s="1037">
        <v>11</v>
      </c>
      <c r="AC436" s="1037">
        <v>21</v>
      </c>
      <c r="AD436" s="1037">
        <v>35</v>
      </c>
      <c r="AE436" s="288">
        <f t="shared" si="1005"/>
        <v>47</v>
      </c>
      <c r="AF436" s="1132">
        <v>47</v>
      </c>
      <c r="AG436" s="1037">
        <v>13</v>
      </c>
      <c r="AH436" s="1037">
        <v>28</v>
      </c>
      <c r="AI436" s="1037">
        <v>45</v>
      </c>
      <c r="AJ436" s="288">
        <f t="shared" si="1006"/>
        <v>60</v>
      </c>
      <c r="AK436" s="1132">
        <v>60</v>
      </c>
      <c r="AL436" s="1037">
        <v>15</v>
      </c>
      <c r="AM436" s="1037">
        <v>28</v>
      </c>
      <c r="AN436" s="1037">
        <v>44</v>
      </c>
      <c r="AO436" s="288">
        <f t="shared" si="1009" ref="AO436:AO447">AP436</f>
        <v>61</v>
      </c>
      <c r="AP436" s="1132">
        <v>61</v>
      </c>
      <c r="AQ436" s="1037">
        <v>25</v>
      </c>
      <c r="AR436" s="1037">
        <v>34</v>
      </c>
      <c r="AS436" s="1037">
        <v>34</v>
      </c>
      <c r="AT436" s="288">
        <f t="shared" si="1007"/>
        <v>34</v>
      </c>
      <c r="AU436" s="1132">
        <v>34</v>
      </c>
      <c r="AV436" s="419"/>
      <c r="AW436" s="419"/>
      <c r="AX436" s="419"/>
      <c r="AY436" s="288">
        <f t="shared" si="1008"/>
        <v>0</v>
      </c>
      <c r="AZ436" s="1131"/>
      <c r="BA436" s="419"/>
      <c r="BB436" s="419"/>
      <c r="BC436" s="419"/>
      <c r="BD436" s="419">
        <f>BE436</f>
        <v>0</v>
      </c>
      <c r="BE436" s="1131"/>
      <c r="BF436" s="419"/>
      <c r="BG436" s="419"/>
      <c r="BH436" s="464"/>
      <c r="BI436" s="171">
        <f>BJ436</f>
        <v>0</v>
      </c>
      <c r="BJ436" s="1133"/>
      <c r="BK436" s="171"/>
      <c r="BL436" s="171"/>
      <c r="BM436" s="171"/>
      <c r="BN436" s="171">
        <f>BO436</f>
        <v>0</v>
      </c>
      <c r="BO436" s="1133"/>
      <c r="BP436" s="1131"/>
      <c r="BQ436" s="1131"/>
      <c r="BR436" s="1133"/>
      <c r="BS436" s="32"/>
    </row>
    <row r="437" spans="1:71" s="673" customFormat="1" ht="15" hidden="1" outlineLevel="1">
      <c r="A437" s="114" t="s">
        <v>515</v>
      </c>
      <c r="B437" s="417"/>
      <c r="C437" s="1131"/>
      <c r="D437" s="1131"/>
      <c r="E437" s="1131"/>
      <c r="F437" s="1131"/>
      <c r="G437" s="1131"/>
      <c r="H437" s="419"/>
      <c r="I437" s="419"/>
      <c r="J437" s="419"/>
      <c r="K437" s="419"/>
      <c r="L437" s="1131"/>
      <c r="M437" s="419"/>
      <c r="N437" s="419"/>
      <c r="O437" s="419"/>
      <c r="P437" s="419"/>
      <c r="Q437" s="1131"/>
      <c r="R437" s="419"/>
      <c r="S437" s="419"/>
      <c r="T437" s="419"/>
      <c r="U437" s="419"/>
      <c r="V437" s="1131"/>
      <c r="W437" s="419"/>
      <c r="X437" s="419"/>
      <c r="Y437" s="419"/>
      <c r="Z437" s="419"/>
      <c r="AA437" s="1131"/>
      <c r="AB437" s="419"/>
      <c r="AC437" s="419"/>
      <c r="AD437" s="419"/>
      <c r="AE437" s="419"/>
      <c r="AF437" s="1131"/>
      <c r="AG437" s="419"/>
      <c r="AH437" s="419"/>
      <c r="AI437" s="419"/>
      <c r="AJ437" s="419"/>
      <c r="AK437" s="1131"/>
      <c r="AL437" s="419"/>
      <c r="AM437" s="419"/>
      <c r="AN437" s="419"/>
      <c r="AO437" s="288">
        <f t="shared" si="1009"/>
        <v>-554</v>
      </c>
      <c r="AP437" s="1132">
        <v>-554</v>
      </c>
      <c r="AQ437" s="419"/>
      <c r="AR437" s="419"/>
      <c r="AS437" s="419"/>
      <c r="AT437" s="288">
        <f t="shared" si="1007"/>
        <v>0</v>
      </c>
      <c r="AU437" s="1131"/>
      <c r="AV437" s="419"/>
      <c r="AW437" s="419"/>
      <c r="AX437" s="419"/>
      <c r="AY437" s="419">
        <f>AZ437</f>
        <v>0</v>
      </c>
      <c r="AZ437" s="1131"/>
      <c r="BA437" s="419"/>
      <c r="BB437" s="419"/>
      <c r="BC437" s="419"/>
      <c r="BD437" s="419"/>
      <c r="BE437" s="1131"/>
      <c r="BF437" s="419"/>
      <c r="BG437" s="419"/>
      <c r="BH437" s="464"/>
      <c r="BI437" s="171"/>
      <c r="BJ437" s="1133"/>
      <c r="BK437" s="171"/>
      <c r="BL437" s="171"/>
      <c r="BM437" s="171"/>
      <c r="BN437" s="171"/>
      <c r="BO437" s="1133"/>
      <c r="BP437" s="1131"/>
      <c r="BQ437" s="1131"/>
      <c r="BR437" s="1133"/>
      <c r="BS437" s="32"/>
    </row>
    <row r="438" spans="1:71" s="673" customFormat="1" ht="15" hidden="1" outlineLevel="1">
      <c r="A438" s="114" t="s">
        <v>298</v>
      </c>
      <c r="B438" s="417"/>
      <c r="C438" s="1132">
        <v>581</v>
      </c>
      <c r="D438" s="1132">
        <v>159</v>
      </c>
      <c r="E438" s="1132">
        <v>2</v>
      </c>
      <c r="F438" s="1132">
        <v>372</v>
      </c>
      <c r="G438" s="1132">
        <v>0</v>
      </c>
      <c r="H438" s="419"/>
      <c r="I438" s="419"/>
      <c r="J438" s="1037">
        <v>145</v>
      </c>
      <c r="K438" s="288">
        <f t="shared" si="1001"/>
        <v>145</v>
      </c>
      <c r="L438" s="1132">
        <v>145</v>
      </c>
      <c r="M438" s="419"/>
      <c r="N438" s="419"/>
      <c r="O438" s="1037">
        <v>0</v>
      </c>
      <c r="P438" s="288">
        <f t="shared" si="1002"/>
        <v>145</v>
      </c>
      <c r="Q438" s="1132">
        <v>145</v>
      </c>
      <c r="R438" s="419"/>
      <c r="S438" s="419"/>
      <c r="T438" s="1037">
        <v>302</v>
      </c>
      <c r="U438" s="288">
        <f t="shared" si="1003"/>
        <v>302</v>
      </c>
      <c r="V438" s="1132">
        <v>302</v>
      </c>
      <c r="W438" s="419"/>
      <c r="X438" s="1037">
        <v>345</v>
      </c>
      <c r="Y438" s="1037">
        <v>345</v>
      </c>
      <c r="Z438" s="288">
        <f t="shared" si="1004"/>
        <v>712</v>
      </c>
      <c r="AA438" s="1132">
        <v>712</v>
      </c>
      <c r="AB438" s="419"/>
      <c r="AC438" s="1037">
        <v>0</v>
      </c>
      <c r="AD438" s="419"/>
      <c r="AE438" s="288">
        <f t="shared" si="1005"/>
        <v>0</v>
      </c>
      <c r="AF438" s="1131"/>
      <c r="AG438" s="1037">
        <v>121</v>
      </c>
      <c r="AH438" s="1037">
        <v>121</v>
      </c>
      <c r="AI438" s="1037">
        <v>121</v>
      </c>
      <c r="AJ438" s="288">
        <f t="shared" si="1006"/>
        <v>315</v>
      </c>
      <c r="AK438" s="1132">
        <v>315</v>
      </c>
      <c r="AL438" s="419"/>
      <c r="AM438" s="1037">
        <v>439</v>
      </c>
      <c r="AN438" s="1037">
        <v>635</v>
      </c>
      <c r="AO438" s="288">
        <f t="shared" si="1009"/>
        <v>634</v>
      </c>
      <c r="AP438" s="1132">
        <v>634</v>
      </c>
      <c r="AQ438" s="419"/>
      <c r="AR438" s="419"/>
      <c r="AS438" s="419"/>
      <c r="AT438" s="288">
        <f t="shared" si="1007"/>
        <v>0</v>
      </c>
      <c r="AU438" s="1131"/>
      <c r="AV438" s="419"/>
      <c r="AW438" s="419"/>
      <c r="AX438" s="419"/>
      <c r="AY438" s="288">
        <f t="shared" si="1008"/>
        <v>0</v>
      </c>
      <c r="AZ438" s="1131"/>
      <c r="BA438" s="419"/>
      <c r="BB438" s="419"/>
      <c r="BC438" s="419"/>
      <c r="BD438" s="419">
        <f t="shared" si="1010" ref="BD438:BD447">BE438</f>
        <v>0</v>
      </c>
      <c r="BE438" s="1131"/>
      <c r="BF438" s="419"/>
      <c r="BG438" s="419"/>
      <c r="BH438" s="464"/>
      <c r="BI438" s="171">
        <f t="shared" si="1011" ref="BI438:BI447">BJ438</f>
        <v>0</v>
      </c>
      <c r="BJ438" s="1133"/>
      <c r="BK438" s="171"/>
      <c r="BL438" s="171"/>
      <c r="BM438" s="171"/>
      <c r="BN438" s="171">
        <f t="shared" si="1012" ref="BN438:BN447">BO438</f>
        <v>0</v>
      </c>
      <c r="BO438" s="1133"/>
      <c r="BP438" s="1131"/>
      <c r="BQ438" s="1131"/>
      <c r="BR438" s="1133"/>
      <c r="BS438" s="32"/>
    </row>
    <row r="439" spans="1:71" s="673" customFormat="1" ht="15" hidden="1" outlineLevel="1">
      <c r="A439" s="114" t="s">
        <v>299</v>
      </c>
      <c r="B439" s="417"/>
      <c r="C439" s="1132">
        <v>-785</v>
      </c>
      <c r="D439" s="1132">
        <v>-39</v>
      </c>
      <c r="E439" s="1132">
        <v>-20</v>
      </c>
      <c r="F439" s="1132">
        <v>-365</v>
      </c>
      <c r="G439" s="1132">
        <v>-40</v>
      </c>
      <c r="H439" s="419"/>
      <c r="I439" s="1037">
        <v>-1</v>
      </c>
      <c r="J439" s="1037">
        <v>-1</v>
      </c>
      <c r="K439" s="288">
        <f t="shared" si="1001"/>
        <v>-2</v>
      </c>
      <c r="L439" s="1132">
        <v>-2</v>
      </c>
      <c r="M439" s="419"/>
      <c r="N439" s="1037">
        <v>-37</v>
      </c>
      <c r="O439" s="1037">
        <v>-182</v>
      </c>
      <c r="P439" s="288">
        <f t="shared" si="1002"/>
        <v>-192</v>
      </c>
      <c r="Q439" s="1132">
        <v>-192</v>
      </c>
      <c r="R439" s="419"/>
      <c r="S439" s="1037">
        <v>0</v>
      </c>
      <c r="T439" s="1037">
        <v>0</v>
      </c>
      <c r="U439" s="288">
        <f t="shared" si="1003"/>
        <v>-18</v>
      </c>
      <c r="V439" s="1132">
        <v>-18</v>
      </c>
      <c r="W439" s="419"/>
      <c r="X439" s="1037">
        <v>-230</v>
      </c>
      <c r="Y439" s="1037">
        <v>-355</v>
      </c>
      <c r="Z439" s="288">
        <f t="shared" si="1004"/>
        <v>-745</v>
      </c>
      <c r="AA439" s="1132">
        <v>-745</v>
      </c>
      <c r="AB439" s="419"/>
      <c r="AC439" s="1037">
        <v>0</v>
      </c>
      <c r="AD439" s="419"/>
      <c r="AE439" s="288">
        <f t="shared" si="1005"/>
        <v>0</v>
      </c>
      <c r="AF439" s="1131"/>
      <c r="AG439" s="419"/>
      <c r="AH439" s="419"/>
      <c r="AI439" s="419"/>
      <c r="AJ439" s="288">
        <f t="shared" si="1006"/>
        <v>-150</v>
      </c>
      <c r="AK439" s="1132">
        <v>-150</v>
      </c>
      <c r="AL439" s="419"/>
      <c r="AM439" s="419"/>
      <c r="AN439" s="419"/>
      <c r="AO439" s="288">
        <f t="shared" si="1009"/>
        <v>-150</v>
      </c>
      <c r="AP439" s="1132">
        <v>-150</v>
      </c>
      <c r="AQ439" s="419"/>
      <c r="AR439" s="419"/>
      <c r="AS439" s="419"/>
      <c r="AT439" s="288">
        <f t="shared" si="1007"/>
        <v>0</v>
      </c>
      <c r="AU439" s="1131"/>
      <c r="AV439" s="1037">
        <v>-50</v>
      </c>
      <c r="AW439" s="1037">
        <v>-433</v>
      </c>
      <c r="AX439" s="1037">
        <v>-436</v>
      </c>
      <c r="AY439" s="288">
        <f t="shared" si="1008"/>
        <v>-477</v>
      </c>
      <c r="AZ439" s="1132">
        <v>-477</v>
      </c>
      <c r="BA439" s="1037">
        <v>-16</v>
      </c>
      <c r="BB439" s="1037">
        <v>-21</v>
      </c>
      <c r="BC439" s="1037">
        <v>-21</v>
      </c>
      <c r="BD439" s="419">
        <f t="shared" si="1010"/>
        <v>-21</v>
      </c>
      <c r="BE439" s="1132">
        <v>-21</v>
      </c>
      <c r="BF439" s="419"/>
      <c r="BG439" s="419"/>
      <c r="BH439" s="464"/>
      <c r="BI439" s="171">
        <f t="shared" si="1011"/>
        <v>0</v>
      </c>
      <c r="BJ439" s="1133"/>
      <c r="BK439" s="171"/>
      <c r="BL439" s="171"/>
      <c r="BM439" s="171"/>
      <c r="BN439" s="171">
        <f t="shared" si="1012"/>
        <v>0</v>
      </c>
      <c r="BO439" s="1133"/>
      <c r="BP439" s="1131"/>
      <c r="BQ439" s="1131"/>
      <c r="BR439" s="1133"/>
      <c r="BS439" s="32"/>
    </row>
    <row r="440" spans="1:71" s="673" customFormat="1" ht="15" hidden="1" outlineLevel="1">
      <c r="A440" s="114" t="s">
        <v>300</v>
      </c>
      <c r="B440" s="417"/>
      <c r="C440" s="1132">
        <v>0</v>
      </c>
      <c r="D440" s="1132">
        <v>0</v>
      </c>
      <c r="E440" s="1132">
        <v>394</v>
      </c>
      <c r="F440" s="1132">
        <v>781</v>
      </c>
      <c r="G440" s="1132">
        <v>1192</v>
      </c>
      <c r="H440" s="1037">
        <v>45</v>
      </c>
      <c r="I440" s="1037">
        <v>200</v>
      </c>
      <c r="J440" s="1037">
        <v>538</v>
      </c>
      <c r="K440" s="288">
        <f t="shared" si="1001"/>
        <v>1400</v>
      </c>
      <c r="L440" s="1132">
        <v>1400</v>
      </c>
      <c r="M440" s="1037">
        <v>103</v>
      </c>
      <c r="N440" s="1037">
        <v>639</v>
      </c>
      <c r="O440" s="1037">
        <v>693</v>
      </c>
      <c r="P440" s="288">
        <f t="shared" si="1002"/>
        <v>1026</v>
      </c>
      <c r="Q440" s="1132">
        <v>1026</v>
      </c>
      <c r="R440" s="1037">
        <v>31</v>
      </c>
      <c r="S440" s="1037">
        <v>1028</v>
      </c>
      <c r="T440" s="1037">
        <v>1028</v>
      </c>
      <c r="U440" s="288">
        <f t="shared" si="1003"/>
        <v>2293</v>
      </c>
      <c r="V440" s="1132">
        <v>2293</v>
      </c>
      <c r="W440" s="1037">
        <v>537</v>
      </c>
      <c r="X440" s="1037">
        <v>977</v>
      </c>
      <c r="Y440" s="1037">
        <v>1926</v>
      </c>
      <c r="Z440" s="288">
        <f t="shared" si="1004"/>
        <v>2731</v>
      </c>
      <c r="AA440" s="1132">
        <v>2731</v>
      </c>
      <c r="AB440" s="1037">
        <v>775</v>
      </c>
      <c r="AC440" s="1037">
        <v>1572</v>
      </c>
      <c r="AD440" s="1037">
        <v>1572</v>
      </c>
      <c r="AE440" s="288">
        <f t="shared" si="1005"/>
        <v>1983</v>
      </c>
      <c r="AF440" s="1132">
        <v>1983</v>
      </c>
      <c r="AG440" s="419"/>
      <c r="AH440" s="419"/>
      <c r="AI440" s="419"/>
      <c r="AJ440" s="288">
        <f t="shared" si="1006"/>
        <v>371</v>
      </c>
      <c r="AK440" s="1132">
        <v>371</v>
      </c>
      <c r="AL440" s="419"/>
      <c r="AM440" s="419"/>
      <c r="AN440" s="1037">
        <v>30</v>
      </c>
      <c r="AO440" s="288">
        <f t="shared" si="1009"/>
        <v>429</v>
      </c>
      <c r="AP440" s="1132">
        <v>429</v>
      </c>
      <c r="AQ440" s="1037">
        <v>752</v>
      </c>
      <c r="AR440" s="1037">
        <v>1017</v>
      </c>
      <c r="AS440" s="1037">
        <v>1665</v>
      </c>
      <c r="AT440" s="288">
        <f t="shared" si="1007"/>
        <v>2883</v>
      </c>
      <c r="AU440" s="1132">
        <v>2883</v>
      </c>
      <c r="AV440" s="1037">
        <v>60</v>
      </c>
      <c r="AW440" s="1037">
        <v>619</v>
      </c>
      <c r="AX440" s="1037">
        <v>666</v>
      </c>
      <c r="AY440" s="288">
        <f t="shared" si="1008"/>
        <v>1206</v>
      </c>
      <c r="AZ440" s="1132">
        <v>1206</v>
      </c>
      <c r="BA440" s="1037">
        <v>588</v>
      </c>
      <c r="BB440" s="1037">
        <v>617</v>
      </c>
      <c r="BC440" s="1037">
        <v>621</v>
      </c>
      <c r="BD440" s="419">
        <f t="shared" si="1010"/>
        <v>670</v>
      </c>
      <c r="BE440" s="1132">
        <v>670</v>
      </c>
      <c r="BF440" s="1037">
        <v>635</v>
      </c>
      <c r="BG440" s="1037">
        <v>1774</v>
      </c>
      <c r="BH440" s="1038">
        <v>1773</v>
      </c>
      <c r="BI440" s="171">
        <f t="shared" si="1011"/>
        <v>0</v>
      </c>
      <c r="BJ440" s="1133"/>
      <c r="BK440" s="171"/>
      <c r="BL440" s="171"/>
      <c r="BM440" s="171"/>
      <c r="BN440" s="171">
        <f t="shared" si="1012"/>
        <v>0</v>
      </c>
      <c r="BO440" s="1133"/>
      <c r="BP440" s="1131"/>
      <c r="BQ440" s="1131"/>
      <c r="BR440" s="1133"/>
      <c r="BS440" s="32"/>
    </row>
    <row r="441" spans="1:71" s="673" customFormat="1" ht="15" hidden="1" outlineLevel="1">
      <c r="A441" s="114" t="s">
        <v>301</v>
      </c>
      <c r="B441" s="417"/>
      <c r="C441" s="1132">
        <v>-95</v>
      </c>
      <c r="D441" s="1131"/>
      <c r="E441" s="1131"/>
      <c r="F441" s="1131"/>
      <c r="G441" s="1131"/>
      <c r="H441" s="419"/>
      <c r="I441" s="419"/>
      <c r="J441" s="419"/>
      <c r="K441" s="288">
        <f t="shared" si="1001"/>
        <v>0</v>
      </c>
      <c r="L441" s="1131"/>
      <c r="M441" s="419"/>
      <c r="N441" s="419"/>
      <c r="O441" s="419"/>
      <c r="P441" s="288">
        <f t="shared" si="1002"/>
        <v>0</v>
      </c>
      <c r="Q441" s="1131"/>
      <c r="R441" s="419"/>
      <c r="S441" s="419"/>
      <c r="T441" s="419"/>
      <c r="U441" s="288">
        <f t="shared" si="1003"/>
        <v>0</v>
      </c>
      <c r="V441" s="1131"/>
      <c r="W441" s="419"/>
      <c r="X441" s="419"/>
      <c r="Y441" s="419"/>
      <c r="Z441" s="288">
        <f t="shared" si="1004"/>
        <v>0</v>
      </c>
      <c r="AA441" s="1131"/>
      <c r="AB441" s="419"/>
      <c r="AC441" s="419"/>
      <c r="AD441" s="419"/>
      <c r="AE441" s="288">
        <f t="shared" si="1005"/>
        <v>0</v>
      </c>
      <c r="AF441" s="1131"/>
      <c r="AG441" s="419"/>
      <c r="AH441" s="419"/>
      <c r="AI441" s="419"/>
      <c r="AJ441" s="288">
        <f t="shared" si="1006"/>
        <v>0</v>
      </c>
      <c r="AK441" s="1131"/>
      <c r="AL441" s="419"/>
      <c r="AM441" s="419"/>
      <c r="AN441" s="419"/>
      <c r="AO441" s="288">
        <f t="shared" si="1009"/>
        <v>0</v>
      </c>
      <c r="AP441" s="1131"/>
      <c r="AQ441" s="419"/>
      <c r="AR441" s="419"/>
      <c r="AS441" s="419"/>
      <c r="AT441" s="288">
        <f t="shared" si="1007"/>
        <v>0</v>
      </c>
      <c r="AU441" s="1131"/>
      <c r="AV441" s="419"/>
      <c r="AW441" s="419"/>
      <c r="AX441" s="419"/>
      <c r="AY441" s="288">
        <f t="shared" si="1008"/>
        <v>0</v>
      </c>
      <c r="AZ441" s="1131"/>
      <c r="BA441" s="419"/>
      <c r="BB441" s="419"/>
      <c r="BC441" s="419"/>
      <c r="BD441" s="419">
        <f t="shared" si="1010"/>
        <v>0</v>
      </c>
      <c r="BE441" s="1131"/>
      <c r="BF441" s="419"/>
      <c r="BG441" s="419"/>
      <c r="BH441" s="464"/>
      <c r="BI441" s="171">
        <f t="shared" si="1011"/>
        <v>0</v>
      </c>
      <c r="BJ441" s="1133"/>
      <c r="BK441" s="171"/>
      <c r="BL441" s="171"/>
      <c r="BM441" s="171"/>
      <c r="BN441" s="171">
        <f t="shared" si="1012"/>
        <v>0</v>
      </c>
      <c r="BO441" s="1133"/>
      <c r="BP441" s="1131"/>
      <c r="BQ441" s="1131"/>
      <c r="BR441" s="1133"/>
      <c r="BS441" s="32"/>
    </row>
    <row r="442" spans="1:71" s="673" customFormat="1" ht="15" hidden="1" outlineLevel="1">
      <c r="A442" s="114" t="s">
        <v>302</v>
      </c>
      <c r="B442" s="417"/>
      <c r="C442" s="1131"/>
      <c r="D442" s="1132">
        <v>-45</v>
      </c>
      <c r="E442" s="1132">
        <v>-66</v>
      </c>
      <c r="F442" s="1132">
        <v>-830</v>
      </c>
      <c r="G442" s="1132">
        <v>-1560</v>
      </c>
      <c r="H442" s="1037">
        <v>-133</v>
      </c>
      <c r="I442" s="1037">
        <v>-297</v>
      </c>
      <c r="J442" s="1037">
        <v>-571</v>
      </c>
      <c r="K442" s="288">
        <f t="shared" si="1001"/>
        <v>-1094</v>
      </c>
      <c r="L442" s="1132">
        <v>-1094</v>
      </c>
      <c r="M442" s="1037">
        <v>-4</v>
      </c>
      <c r="N442" s="1037">
        <v>-192</v>
      </c>
      <c r="O442" s="1037">
        <v>-192</v>
      </c>
      <c r="P442" s="288">
        <f t="shared" si="1002"/>
        <v>-136</v>
      </c>
      <c r="Q442" s="1132">
        <v>-136</v>
      </c>
      <c r="R442" s="1037">
        <v>-11</v>
      </c>
      <c r="S442" s="1037">
        <v>-682</v>
      </c>
      <c r="T442" s="1037">
        <v>-747</v>
      </c>
      <c r="U442" s="288">
        <f t="shared" si="1003"/>
        <v>-1600</v>
      </c>
      <c r="V442" s="1132">
        <v>-1600</v>
      </c>
      <c r="W442" s="1037">
        <v>-212</v>
      </c>
      <c r="X442" s="1037">
        <v>-835</v>
      </c>
      <c r="Y442" s="1037">
        <v>-1998</v>
      </c>
      <c r="Z442" s="288">
        <f t="shared" si="1004"/>
        <v>-2585</v>
      </c>
      <c r="AA442" s="1132">
        <v>-2585</v>
      </c>
      <c r="AB442" s="1037">
        <v>-684</v>
      </c>
      <c r="AC442" s="1037">
        <v>-1461</v>
      </c>
      <c r="AD442" s="1037">
        <v>-1463</v>
      </c>
      <c r="AE442" s="288">
        <f t="shared" si="1005"/>
        <v>-1935</v>
      </c>
      <c r="AF442" s="1132">
        <v>-1935</v>
      </c>
      <c r="AG442" s="1037">
        <v>-3</v>
      </c>
      <c r="AH442" s="1037">
        <v>-5</v>
      </c>
      <c r="AI442" s="1037">
        <v>-8</v>
      </c>
      <c r="AJ442" s="288">
        <f t="shared" si="1006"/>
        <v>-382</v>
      </c>
      <c r="AK442" s="1132">
        <v>-382</v>
      </c>
      <c r="AL442" s="1037">
        <v>-41</v>
      </c>
      <c r="AM442" s="1037">
        <v>-46</v>
      </c>
      <c r="AN442" s="1037">
        <v>-79</v>
      </c>
      <c r="AO442" s="288">
        <f t="shared" si="1009"/>
        <v>-208</v>
      </c>
      <c r="AP442" s="1132">
        <v>-208</v>
      </c>
      <c r="AQ442" s="1037">
        <v>-725</v>
      </c>
      <c r="AR442" s="1037">
        <v>-1045</v>
      </c>
      <c r="AS442" s="1037">
        <v>-1701</v>
      </c>
      <c r="AT442" s="288">
        <f t="shared" si="1007"/>
        <v>-2690</v>
      </c>
      <c r="AU442" s="1132">
        <v>-2690</v>
      </c>
      <c r="AV442" s="1037">
        <v>-136</v>
      </c>
      <c r="AW442" s="1037">
        <v>-425</v>
      </c>
      <c r="AX442" s="1037">
        <v>-561</v>
      </c>
      <c r="AY442" s="288">
        <f t="shared" si="1008"/>
        <v>-882</v>
      </c>
      <c r="AZ442" s="1132">
        <v>-882</v>
      </c>
      <c r="BA442" s="1037">
        <v>-650</v>
      </c>
      <c r="BB442" s="1037">
        <v>-861</v>
      </c>
      <c r="BC442" s="1037">
        <v>-1284</v>
      </c>
      <c r="BD442" s="419">
        <f t="shared" si="1010"/>
        <v>-1798</v>
      </c>
      <c r="BE442" s="1132">
        <v>-1798</v>
      </c>
      <c r="BF442" s="1037">
        <v>-463</v>
      </c>
      <c r="BG442" s="1037">
        <v>-1574</v>
      </c>
      <c r="BH442" s="1038">
        <v>-1898</v>
      </c>
      <c r="BI442" s="171">
        <f t="shared" si="1011"/>
        <v>0</v>
      </c>
      <c r="BJ442" s="1133"/>
      <c r="BK442" s="171"/>
      <c r="BL442" s="171"/>
      <c r="BM442" s="171"/>
      <c r="BN442" s="171">
        <f t="shared" si="1012"/>
        <v>0</v>
      </c>
      <c r="BO442" s="1133"/>
      <c r="BP442" s="1131"/>
      <c r="BQ442" s="1131"/>
      <c r="BR442" s="1133"/>
      <c r="BS442" s="32"/>
    </row>
    <row r="443" spans="1:71" s="673" customFormat="1" ht="15" hidden="1" outlineLevel="1">
      <c r="A443" s="114" t="s">
        <v>303</v>
      </c>
      <c r="B443" s="417"/>
      <c r="C443" s="1132">
        <v>15</v>
      </c>
      <c r="D443" s="1132">
        <v>32</v>
      </c>
      <c r="E443" s="1132">
        <v>39</v>
      </c>
      <c r="F443" s="1132">
        <v>46</v>
      </c>
      <c r="G443" s="1132">
        <v>54</v>
      </c>
      <c r="H443" s="1037">
        <v>11</v>
      </c>
      <c r="I443" s="1037">
        <v>24</v>
      </c>
      <c r="J443" s="1037">
        <v>35</v>
      </c>
      <c r="K443" s="288">
        <f t="shared" si="1001"/>
        <v>47</v>
      </c>
      <c r="L443" s="1132">
        <v>47</v>
      </c>
      <c r="M443" s="1037">
        <v>19</v>
      </c>
      <c r="N443" s="1037">
        <v>34</v>
      </c>
      <c r="O443" s="1037">
        <v>47</v>
      </c>
      <c r="P443" s="288">
        <f t="shared" si="1002"/>
        <v>61</v>
      </c>
      <c r="Q443" s="1132">
        <v>61</v>
      </c>
      <c r="R443" s="1037">
        <v>13</v>
      </c>
      <c r="S443" s="1037">
        <v>20</v>
      </c>
      <c r="T443" s="1037">
        <v>34</v>
      </c>
      <c r="U443" s="288">
        <f t="shared" si="1003"/>
        <v>35</v>
      </c>
      <c r="V443" s="1132">
        <v>35</v>
      </c>
      <c r="W443" s="1037">
        <v>15</v>
      </c>
      <c r="X443" s="1037">
        <v>27</v>
      </c>
      <c r="Y443" s="1037">
        <v>30</v>
      </c>
      <c r="Z443" s="288">
        <f t="shared" si="1004"/>
        <v>37</v>
      </c>
      <c r="AA443" s="1132">
        <v>37</v>
      </c>
      <c r="AB443" s="1037">
        <v>14</v>
      </c>
      <c r="AC443" s="1037">
        <v>21</v>
      </c>
      <c r="AD443" s="1037">
        <v>26</v>
      </c>
      <c r="AE443" s="288">
        <f t="shared" si="1005"/>
        <v>33</v>
      </c>
      <c r="AF443" s="1132">
        <v>33</v>
      </c>
      <c r="AG443" s="1037">
        <v>7</v>
      </c>
      <c r="AH443" s="1037">
        <v>19</v>
      </c>
      <c r="AI443" s="1037">
        <v>29</v>
      </c>
      <c r="AJ443" s="288">
        <f t="shared" si="1006"/>
        <v>36</v>
      </c>
      <c r="AK443" s="1132">
        <v>36</v>
      </c>
      <c r="AL443" s="1037">
        <v>10</v>
      </c>
      <c r="AM443" s="1037">
        <v>12</v>
      </c>
      <c r="AN443" s="1037">
        <v>15</v>
      </c>
      <c r="AO443" s="288">
        <f t="shared" si="1009"/>
        <v>22</v>
      </c>
      <c r="AP443" s="1132">
        <v>22</v>
      </c>
      <c r="AQ443" s="1037">
        <v>20</v>
      </c>
      <c r="AR443" s="1037">
        <v>52</v>
      </c>
      <c r="AS443" s="1037">
        <v>60</v>
      </c>
      <c r="AT443" s="288">
        <f t="shared" si="1007"/>
        <v>66</v>
      </c>
      <c r="AU443" s="1132">
        <v>66</v>
      </c>
      <c r="AV443" s="1037">
        <v>5</v>
      </c>
      <c r="AW443" s="1037">
        <v>9</v>
      </c>
      <c r="AX443" s="1037">
        <v>12</v>
      </c>
      <c r="AY443" s="288">
        <f t="shared" si="1008"/>
        <v>16</v>
      </c>
      <c r="AZ443" s="1132">
        <v>16</v>
      </c>
      <c r="BA443" s="1037">
        <v>4</v>
      </c>
      <c r="BB443" s="1037">
        <v>8</v>
      </c>
      <c r="BC443" s="1037">
        <v>11</v>
      </c>
      <c r="BD443" s="419">
        <f t="shared" si="1010"/>
        <v>15</v>
      </c>
      <c r="BE443" s="1132">
        <v>15</v>
      </c>
      <c r="BF443" s="1037">
        <v>6</v>
      </c>
      <c r="BG443" s="1037">
        <v>10</v>
      </c>
      <c r="BH443" s="1038">
        <v>13</v>
      </c>
      <c r="BI443" s="171">
        <f t="shared" si="1011"/>
        <v>0</v>
      </c>
      <c r="BJ443" s="1133"/>
      <c r="BK443" s="171"/>
      <c r="BL443" s="171"/>
      <c r="BM443" s="171"/>
      <c r="BN443" s="171">
        <f t="shared" si="1012"/>
        <v>0</v>
      </c>
      <c r="BO443" s="1133"/>
      <c r="BP443" s="1131"/>
      <c r="BQ443" s="1131"/>
      <c r="BR443" s="1133"/>
      <c r="BS443" s="32"/>
    </row>
    <row r="444" spans="1:71" s="673" customFormat="1" ht="15" hidden="1" outlineLevel="1">
      <c r="A444" s="114" t="s">
        <v>304</v>
      </c>
      <c r="B444" s="417"/>
      <c r="C444" s="1132">
        <v>-81</v>
      </c>
      <c r="D444" s="1132">
        <v>-292</v>
      </c>
      <c r="E444" s="1132">
        <v>-315</v>
      </c>
      <c r="F444" s="1132">
        <v>-415</v>
      </c>
      <c r="G444" s="1132">
        <v>-70</v>
      </c>
      <c r="H444" s="1037">
        <v>-24</v>
      </c>
      <c r="I444" s="1037">
        <v>-44</v>
      </c>
      <c r="J444" s="1037">
        <v>-127</v>
      </c>
      <c r="K444" s="288">
        <f t="shared" si="1001"/>
        <v>-191</v>
      </c>
      <c r="L444" s="1132">
        <v>-191</v>
      </c>
      <c r="M444" s="1037">
        <v>-31</v>
      </c>
      <c r="N444" s="1037">
        <v>-78</v>
      </c>
      <c r="O444" s="1037">
        <v>-113</v>
      </c>
      <c r="P444" s="288">
        <f t="shared" si="1002"/>
        <v>-126</v>
      </c>
      <c r="Q444" s="1132">
        <v>-126</v>
      </c>
      <c r="R444" s="1037">
        <v>-76</v>
      </c>
      <c r="S444" s="1037">
        <v>-98</v>
      </c>
      <c r="T444" s="1037">
        <v>-124</v>
      </c>
      <c r="U444" s="288">
        <f t="shared" si="1003"/>
        <v>-133</v>
      </c>
      <c r="V444" s="1132">
        <v>-133</v>
      </c>
      <c r="W444" s="1037">
        <v>0</v>
      </c>
      <c r="X444" s="1037">
        <v>0</v>
      </c>
      <c r="Y444" s="1037">
        <v>0</v>
      </c>
      <c r="Z444" s="288">
        <f t="shared" si="1004"/>
        <v>0</v>
      </c>
      <c r="AA444" s="1131"/>
      <c r="AB444" s="1037">
        <v>0</v>
      </c>
      <c r="AC444" s="419"/>
      <c r="AD444" s="419"/>
      <c r="AE444" s="288">
        <f t="shared" si="1005"/>
        <v>-6</v>
      </c>
      <c r="AF444" s="1132">
        <v>-6</v>
      </c>
      <c r="AG444" s="419"/>
      <c r="AH444" s="419"/>
      <c r="AI444" s="419"/>
      <c r="AJ444" s="288">
        <f t="shared" si="1006"/>
        <v>0</v>
      </c>
      <c r="AK444" s="1131"/>
      <c r="AL444" s="1037">
        <v>-61</v>
      </c>
      <c r="AM444" s="1037">
        <v>-137</v>
      </c>
      <c r="AN444" s="1037">
        <v>-233</v>
      </c>
      <c r="AO444" s="288">
        <f t="shared" si="1009"/>
        <v>-313</v>
      </c>
      <c r="AP444" s="1132">
        <v>-313</v>
      </c>
      <c r="AQ444" s="1037">
        <v>-192</v>
      </c>
      <c r="AR444" s="1037">
        <v>-306</v>
      </c>
      <c r="AS444" s="1037">
        <v>-318</v>
      </c>
      <c r="AT444" s="288">
        <f t="shared" si="1007"/>
        <v>-319</v>
      </c>
      <c r="AU444" s="1132">
        <v>-319</v>
      </c>
      <c r="AV444" s="1037">
        <v>-5</v>
      </c>
      <c r="AW444" s="1037">
        <v>-5</v>
      </c>
      <c r="AX444" s="1037">
        <v>-10</v>
      </c>
      <c r="AY444" s="288">
        <f t="shared" si="1008"/>
        <v>-11</v>
      </c>
      <c r="AZ444" s="1132">
        <v>-11</v>
      </c>
      <c r="BA444" s="1037">
        <v>-24</v>
      </c>
      <c r="BB444" s="1037">
        <v>-67</v>
      </c>
      <c r="BC444" s="1037">
        <v>-153</v>
      </c>
      <c r="BD444" s="419">
        <f t="shared" si="1010"/>
        <v>-213</v>
      </c>
      <c r="BE444" s="1132">
        <v>-213</v>
      </c>
      <c r="BF444" s="419"/>
      <c r="BG444" s="419"/>
      <c r="BH444" s="464"/>
      <c r="BI444" s="171">
        <f t="shared" si="1011"/>
        <v>0</v>
      </c>
      <c r="BJ444" s="1133"/>
      <c r="BK444" s="171"/>
      <c r="BL444" s="171"/>
      <c r="BM444" s="171"/>
      <c r="BN444" s="171">
        <f t="shared" si="1012"/>
        <v>0</v>
      </c>
      <c r="BO444" s="1133"/>
      <c r="BP444" s="1131"/>
      <c r="BQ444" s="1131"/>
      <c r="BR444" s="1133"/>
      <c r="BS444" s="32"/>
    </row>
    <row r="445" spans="1:71" s="673" customFormat="1" ht="15" hidden="1" outlineLevel="1">
      <c r="A445" s="114" t="s">
        <v>305</v>
      </c>
      <c r="B445" s="417"/>
      <c r="C445" s="1132">
        <v>-60</v>
      </c>
      <c r="D445" s="1132">
        <v>-63</v>
      </c>
      <c r="E445" s="1132">
        <v>-67</v>
      </c>
      <c r="F445" s="1132">
        <v>-90</v>
      </c>
      <c r="G445" s="1132">
        <v>-160</v>
      </c>
      <c r="H445" s="1037">
        <v>-19</v>
      </c>
      <c r="I445" s="1037">
        <v>-39</v>
      </c>
      <c r="J445" s="1037">
        <v>-59</v>
      </c>
      <c r="K445" s="288">
        <f t="shared" si="1001"/>
        <v>-167</v>
      </c>
      <c r="L445" s="1132">
        <v>-167</v>
      </c>
      <c r="M445" s="1037">
        <v>-22</v>
      </c>
      <c r="N445" s="1037">
        <v>-44</v>
      </c>
      <c r="O445" s="1037">
        <v>-65</v>
      </c>
      <c r="P445" s="288">
        <f t="shared" si="1002"/>
        <v>-176</v>
      </c>
      <c r="Q445" s="1132">
        <v>-176</v>
      </c>
      <c r="R445" s="1037">
        <v>-24</v>
      </c>
      <c r="S445" s="1037">
        <v>-48</v>
      </c>
      <c r="T445" s="1037">
        <v>-72</v>
      </c>
      <c r="U445" s="288">
        <f t="shared" si="1003"/>
        <v>-185</v>
      </c>
      <c r="V445" s="1132">
        <v>-185</v>
      </c>
      <c r="W445" s="1037">
        <v>-27</v>
      </c>
      <c r="X445" s="1037">
        <v>-185</v>
      </c>
      <c r="Y445" s="1037">
        <v>-212</v>
      </c>
      <c r="Z445" s="288">
        <f t="shared" si="1004"/>
        <v>-417</v>
      </c>
      <c r="AA445" s="1132">
        <v>-417</v>
      </c>
      <c r="AB445" s="1037">
        <v>-31</v>
      </c>
      <c r="AC445" s="1037">
        <v>-194</v>
      </c>
      <c r="AD445" s="1037">
        <v>-225</v>
      </c>
      <c r="AE445" s="288">
        <f t="shared" si="1005"/>
        <v>-394</v>
      </c>
      <c r="AF445" s="1132">
        <v>-394</v>
      </c>
      <c r="AG445" s="1037">
        <v>-36</v>
      </c>
      <c r="AH445" s="1037">
        <v>-205</v>
      </c>
      <c r="AI445" s="1037">
        <v>-241</v>
      </c>
      <c r="AJ445" s="288">
        <f t="shared" si="1006"/>
        <v>-444</v>
      </c>
      <c r="AK445" s="1132">
        <v>-444</v>
      </c>
      <c r="AL445" s="1037">
        <v>-40</v>
      </c>
      <c r="AM445" s="1037">
        <v>-81</v>
      </c>
      <c r="AN445" s="1037">
        <v>-119</v>
      </c>
      <c r="AO445" s="288">
        <f t="shared" si="1009"/>
        <v>-334</v>
      </c>
      <c r="AP445" s="1132">
        <v>-334</v>
      </c>
      <c r="AQ445" s="1037">
        <v>-43</v>
      </c>
      <c r="AR445" s="1037">
        <v>-1271</v>
      </c>
      <c r="AS445" s="1037">
        <v>-1482</v>
      </c>
      <c r="AT445" s="288">
        <f t="shared" si="1007"/>
        <v>-2374</v>
      </c>
      <c r="AU445" s="1132">
        <v>-2374</v>
      </c>
      <c r="AV445" s="1037">
        <v>-216</v>
      </c>
      <c r="AW445" s="1037">
        <v>-942</v>
      </c>
      <c r="AX445" s="1037">
        <v>-989</v>
      </c>
      <c r="AY445" s="288">
        <f t="shared" si="1008"/>
        <v>-1213</v>
      </c>
      <c r="AZ445" s="1132">
        <v>-1213</v>
      </c>
      <c r="BA445" s="1037">
        <v>-393</v>
      </c>
      <c r="BB445" s="1037">
        <v>-446</v>
      </c>
      <c r="BC445" s="1037">
        <v>-498</v>
      </c>
      <c r="BD445" s="419">
        <f t="shared" si="1010"/>
        <v>-684</v>
      </c>
      <c r="BE445" s="1132">
        <v>-684</v>
      </c>
      <c r="BF445" s="1037">
        <v>-268</v>
      </c>
      <c r="BG445" s="1037">
        <v>-327</v>
      </c>
      <c r="BH445" s="1038">
        <v>-385</v>
      </c>
      <c r="BI445" s="171">
        <f t="shared" si="1011"/>
        <v>0</v>
      </c>
      <c r="BJ445" s="1133"/>
      <c r="BK445" s="171"/>
      <c r="BL445" s="171"/>
      <c r="BM445" s="171"/>
      <c r="BN445" s="171">
        <f t="shared" si="1012"/>
        <v>0</v>
      </c>
      <c r="BO445" s="1133"/>
      <c r="BP445" s="1131"/>
      <c r="BQ445" s="1131"/>
      <c r="BR445" s="1133"/>
      <c r="BS445" s="32"/>
    </row>
    <row r="446" spans="1:71" s="673" customFormat="1" ht="15" hidden="1" outlineLevel="1">
      <c r="A446" s="114" t="s">
        <v>306</v>
      </c>
      <c r="B446" s="417"/>
      <c r="C446" s="1131"/>
      <c r="D446" s="1131"/>
      <c r="E446" s="1131"/>
      <c r="F446" s="1131"/>
      <c r="G446" s="1131"/>
      <c r="H446" s="419"/>
      <c r="I446" s="419"/>
      <c r="J446" s="419"/>
      <c r="K446" s="288">
        <f t="shared" si="1001"/>
        <v>0</v>
      </c>
      <c r="L446" s="1131"/>
      <c r="M446" s="419"/>
      <c r="N446" s="419"/>
      <c r="O446" s="419"/>
      <c r="P446" s="288">
        <f t="shared" si="1002"/>
        <v>0</v>
      </c>
      <c r="Q446" s="1132">
        <v>0</v>
      </c>
      <c r="R446" s="419"/>
      <c r="S446" s="419"/>
      <c r="T446" s="419"/>
      <c r="U446" s="288">
        <f t="shared" si="1003"/>
        <v>-315</v>
      </c>
      <c r="V446" s="1132">
        <v>-315</v>
      </c>
      <c r="W446" s="419"/>
      <c r="X446" s="1037">
        <v>0</v>
      </c>
      <c r="Y446" s="419"/>
      <c r="Z446" s="288">
        <f t="shared" si="1004"/>
        <v>0</v>
      </c>
      <c r="AA446" s="1131"/>
      <c r="AB446" s="419"/>
      <c r="AC446" s="419"/>
      <c r="AD446" s="419"/>
      <c r="AE446" s="288">
        <f t="shared" si="1005"/>
        <v>0</v>
      </c>
      <c r="AF446" s="1131"/>
      <c r="AG446" s="419"/>
      <c r="AH446" s="419"/>
      <c r="AI446" s="419"/>
      <c r="AJ446" s="288">
        <f t="shared" si="1006"/>
        <v>0</v>
      </c>
      <c r="AK446" s="1131"/>
      <c r="AL446" s="419"/>
      <c r="AM446" s="419"/>
      <c r="AN446" s="419"/>
      <c r="AO446" s="288">
        <f t="shared" si="1009"/>
        <v>0</v>
      </c>
      <c r="AP446" s="1131"/>
      <c r="AQ446" s="419"/>
      <c r="AR446" s="419"/>
      <c r="AS446" s="419"/>
      <c r="AT446" s="288">
        <f t="shared" si="1007"/>
        <v>0</v>
      </c>
      <c r="AU446" s="1131"/>
      <c r="AV446" s="419"/>
      <c r="AW446" s="419"/>
      <c r="AX446" s="419"/>
      <c r="AY446" s="288">
        <f t="shared" si="1008"/>
        <v>0</v>
      </c>
      <c r="AZ446" s="1131"/>
      <c r="BA446" s="419"/>
      <c r="BB446" s="419"/>
      <c r="BC446" s="419"/>
      <c r="BD446" s="419">
        <f t="shared" si="1010"/>
        <v>0</v>
      </c>
      <c r="BE446" s="1131"/>
      <c r="BF446" s="419"/>
      <c r="BG446" s="419"/>
      <c r="BH446" s="464"/>
      <c r="BI446" s="171">
        <f t="shared" si="1011"/>
        <v>0</v>
      </c>
      <c r="BJ446" s="1133"/>
      <c r="BK446" s="171"/>
      <c r="BL446" s="171"/>
      <c r="BM446" s="171"/>
      <c r="BN446" s="171">
        <f t="shared" si="1012"/>
        <v>0</v>
      </c>
      <c r="BO446" s="1133"/>
      <c r="BP446" s="1131"/>
      <c r="BQ446" s="1131"/>
      <c r="BR446" s="1133"/>
      <c r="BS446" s="32"/>
    </row>
    <row r="447" spans="1:71" s="673" customFormat="1" ht="15" hidden="1" outlineLevel="1">
      <c r="A447" s="114" t="s">
        <v>307</v>
      </c>
      <c r="B447" s="417"/>
      <c r="C447" s="1132">
        <v>-2</v>
      </c>
      <c r="D447" s="1132">
        <v>0</v>
      </c>
      <c r="E447" s="1132">
        <v>-14</v>
      </c>
      <c r="F447" s="1132">
        <v>-35</v>
      </c>
      <c r="G447" s="1132">
        <v>-4</v>
      </c>
      <c r="H447" s="1037">
        <v>1</v>
      </c>
      <c r="I447" s="1037">
        <v>0</v>
      </c>
      <c r="J447" s="1037">
        <v>0</v>
      </c>
      <c r="K447" s="288">
        <f t="shared" si="1001"/>
        <v>-3</v>
      </c>
      <c r="L447" s="1132">
        <v>-3</v>
      </c>
      <c r="M447" s="1037">
        <v>-5</v>
      </c>
      <c r="N447" s="1037">
        <v>-6</v>
      </c>
      <c r="O447" s="1037">
        <v>-7</v>
      </c>
      <c r="P447" s="288">
        <f t="shared" si="1002"/>
        <v>-8</v>
      </c>
      <c r="Q447" s="1132">
        <v>-8</v>
      </c>
      <c r="R447" s="1037">
        <v>-2</v>
      </c>
      <c r="S447" s="1037">
        <v>-3</v>
      </c>
      <c r="T447" s="1037">
        <v>-6</v>
      </c>
      <c r="U447" s="288">
        <f t="shared" si="1003"/>
        <v>-13</v>
      </c>
      <c r="V447" s="1132">
        <v>-13</v>
      </c>
      <c r="W447" s="1037">
        <v>0</v>
      </c>
      <c r="X447" s="1037">
        <v>-4</v>
      </c>
      <c r="Y447" s="1037">
        <v>-7</v>
      </c>
      <c r="Z447" s="288">
        <f t="shared" si="1004"/>
        <v>-4</v>
      </c>
      <c r="AA447" s="1132">
        <v>-4</v>
      </c>
      <c r="AB447" s="1037">
        <v>0</v>
      </c>
      <c r="AC447" s="1037">
        <v>0</v>
      </c>
      <c r="AD447" s="419"/>
      <c r="AE447" s="288">
        <f t="shared" si="1005"/>
        <v>0</v>
      </c>
      <c r="AF447" s="1131"/>
      <c r="AG447" s="419"/>
      <c r="AH447" s="419"/>
      <c r="AI447" s="419"/>
      <c r="AJ447" s="288">
        <f t="shared" si="1006"/>
        <v>0</v>
      </c>
      <c r="AK447" s="1131"/>
      <c r="AL447" s="419"/>
      <c r="AM447" s="419"/>
      <c r="AN447" s="419"/>
      <c r="AO447" s="288">
        <f t="shared" si="1009"/>
        <v>0</v>
      </c>
      <c r="AP447" s="1131"/>
      <c r="AQ447" s="419"/>
      <c r="AR447" s="419"/>
      <c r="AS447" s="419"/>
      <c r="AT447" s="288">
        <f t="shared" si="1007"/>
        <v>0</v>
      </c>
      <c r="AU447" s="1131"/>
      <c r="AV447" s="419"/>
      <c r="AW447" s="419"/>
      <c r="AX447" s="419"/>
      <c r="AY447" s="288">
        <f t="shared" si="1008"/>
        <v>0</v>
      </c>
      <c r="AZ447" s="1131"/>
      <c r="BA447" s="419"/>
      <c r="BB447" s="419"/>
      <c r="BC447" s="419"/>
      <c r="BD447" s="419">
        <f t="shared" si="1010"/>
        <v>0</v>
      </c>
      <c r="BE447" s="1131"/>
      <c r="BF447" s="419"/>
      <c r="BG447" s="419"/>
      <c r="BH447" s="464"/>
      <c r="BI447" s="171">
        <f t="shared" si="1011"/>
        <v>0</v>
      </c>
      <c r="BJ447" s="1133"/>
      <c r="BK447" s="171"/>
      <c r="BL447" s="171"/>
      <c r="BM447" s="171"/>
      <c r="BN447" s="171">
        <f t="shared" si="1012"/>
        <v>0</v>
      </c>
      <c r="BO447" s="1133"/>
      <c r="BP447" s="1131"/>
      <c r="BQ447" s="1131"/>
      <c r="BR447" s="1133"/>
      <c r="BS447" s="32"/>
    </row>
    <row r="448" spans="1:71" s="674" customFormat="1" ht="15" hidden="1" outlineLevel="1">
      <c r="A448" s="100" t="s">
        <v>308</v>
      </c>
      <c r="B448" s="516"/>
      <c r="C448" s="1138">
        <f t="shared" si="1013" ref="C448:AU448">SUM(C432:C447)</f>
        <v>-276</v>
      </c>
      <c r="D448" s="1138">
        <f t="shared" si="1013"/>
        <v>820</v>
      </c>
      <c r="E448" s="1138">
        <f t="shared" si="1013"/>
        <v>1997</v>
      </c>
      <c r="F448" s="1138">
        <f t="shared" si="1013"/>
        <v>989</v>
      </c>
      <c r="G448" s="1138">
        <f t="shared" si="1013"/>
        <v>2089</v>
      </c>
      <c r="H448" s="96">
        <f t="shared" si="1013"/>
        <v>459</v>
      </c>
      <c r="I448" s="96">
        <f t="shared" si="1013"/>
        <v>948</v>
      </c>
      <c r="J448" s="96">
        <f t="shared" si="1013"/>
        <v>1432</v>
      </c>
      <c r="K448" s="96">
        <f t="shared" si="1013"/>
        <v>2101</v>
      </c>
      <c r="L448" s="1138">
        <f t="shared" si="1013"/>
        <v>2101</v>
      </c>
      <c r="M448" s="96">
        <f t="shared" si="1013"/>
        <v>440</v>
      </c>
      <c r="N448" s="96">
        <f t="shared" si="1013"/>
        <v>1411</v>
      </c>
      <c r="O448" s="96">
        <f t="shared" si="1013"/>
        <v>2059</v>
      </c>
      <c r="P448" s="96">
        <f t="shared" si="1013"/>
        <v>3097</v>
      </c>
      <c r="Q448" s="1138">
        <f t="shared" si="1013"/>
        <v>3097</v>
      </c>
      <c r="R448" s="96">
        <f t="shared" si="1013"/>
        <v>872</v>
      </c>
      <c r="S448" s="96">
        <f t="shared" si="1013"/>
        <v>1649</v>
      </c>
      <c r="T448" s="96">
        <f t="shared" si="1013"/>
        <v>2192</v>
      </c>
      <c r="U448" s="96">
        <f t="shared" si="1013"/>
        <v>2718</v>
      </c>
      <c r="V448" s="1138">
        <f t="shared" si="1013"/>
        <v>2718</v>
      </c>
      <c r="W448" s="96">
        <f t="shared" si="1013"/>
        <v>1053</v>
      </c>
      <c r="X448" s="96">
        <f t="shared" si="1013"/>
        <v>1520</v>
      </c>
      <c r="Y448" s="96">
        <f t="shared" si="1013"/>
        <v>1479</v>
      </c>
      <c r="Z448" s="96">
        <f t="shared" si="1013"/>
        <v>1719</v>
      </c>
      <c r="AA448" s="1138">
        <f t="shared" si="1013"/>
        <v>1719</v>
      </c>
      <c r="AB448" s="96">
        <f t="shared" si="1013"/>
        <v>586</v>
      </c>
      <c r="AC448" s="96">
        <f t="shared" si="1013"/>
        <v>1134</v>
      </c>
      <c r="AD448" s="96">
        <f t="shared" si="1013"/>
        <v>1769</v>
      </c>
      <c r="AE448" s="96">
        <f t="shared" si="1013"/>
        <v>2444</v>
      </c>
      <c r="AF448" s="1138">
        <f t="shared" si="1013"/>
        <v>2444</v>
      </c>
      <c r="AG448" s="96">
        <f t="shared" si="1013"/>
        <v>715</v>
      </c>
      <c r="AH448" s="96">
        <f t="shared" si="1013"/>
        <v>1034</v>
      </c>
      <c r="AI448" s="96">
        <f t="shared" si="1013"/>
        <v>1265</v>
      </c>
      <c r="AJ448" s="96">
        <f t="shared" si="1013"/>
        <v>1408</v>
      </c>
      <c r="AK448" s="1138">
        <f t="shared" si="1013"/>
        <v>1408</v>
      </c>
      <c r="AL448" s="96">
        <f t="shared" si="1014" ref="AL448:AQ448">SUM(AL432:AL447)</f>
        <v>480</v>
      </c>
      <c r="AM448" s="96">
        <f t="shared" si="1014"/>
        <v>593</v>
      </c>
      <c r="AN448" s="96">
        <f t="shared" si="1014"/>
        <v>509</v>
      </c>
      <c r="AO448" s="96">
        <f t="shared" si="1014"/>
        <v>-123</v>
      </c>
      <c r="AP448" s="1138">
        <f t="shared" si="1014"/>
        <v>-123</v>
      </c>
      <c r="AQ448" s="96">
        <f t="shared" si="1014"/>
        <v>-172</v>
      </c>
      <c r="AR448" s="96">
        <f t="shared" si="1013"/>
        <v>-1076</v>
      </c>
      <c r="AS448" s="96">
        <f t="shared" si="1013"/>
        <v>-1299</v>
      </c>
      <c r="AT448" s="96">
        <f t="shared" si="1013"/>
        <v>-1957</v>
      </c>
      <c r="AU448" s="1138">
        <f t="shared" si="1013"/>
        <v>-1957</v>
      </c>
      <c r="AV448" s="96">
        <f>SUM(AV432:AV447)</f>
        <v>-342</v>
      </c>
      <c r="AW448" s="96">
        <f>SUM(AW432:AW447)</f>
        <v>-1177</v>
      </c>
      <c r="AX448" s="96">
        <f>SUM(AX432:AX447)</f>
        <v>-1318</v>
      </c>
      <c r="AY448" s="96">
        <f>SUM(AY432:AY447)</f>
        <v>-1361</v>
      </c>
      <c r="AZ448" s="1138">
        <f>SUM(AZ432:AZ447)</f>
        <v>-1361</v>
      </c>
      <c r="BA448" s="596">
        <f t="shared" si="1015" ref="BA448:BJ448">SUM(BA432:BA447)</f>
        <v>-491</v>
      </c>
      <c r="BB448" s="596">
        <f t="shared" si="1015"/>
        <v>-770</v>
      </c>
      <c r="BC448" s="96">
        <f>SUM(BC432:BC447)</f>
        <v>-1324</v>
      </c>
      <c r="BD448" s="596">
        <f t="shared" si="1015"/>
        <v>-2031</v>
      </c>
      <c r="BE448" s="1138">
        <f t="shared" si="1015"/>
        <v>-2031</v>
      </c>
      <c r="BF448" s="596">
        <f>SUM(BF432:BF447)</f>
        <v>-90</v>
      </c>
      <c r="BG448" s="596">
        <f>SUM(BG432:BG447)</f>
        <v>-117</v>
      </c>
      <c r="BH448" s="874">
        <f>SUM(BH432:BH447)</f>
        <v>-497</v>
      </c>
      <c r="BI448" s="596">
        <f>SUM(BI432:BI447)</f>
        <v>0</v>
      </c>
      <c r="BJ448" s="1139">
        <f t="shared" si="1015"/>
        <v>0</v>
      </c>
      <c r="BK448" s="596">
        <f t="shared" si="1016" ref="BK448:BR448">SUM(BK432:BK447)</f>
        <v>0</v>
      </c>
      <c r="BL448" s="596">
        <f t="shared" si="1016"/>
        <v>0</v>
      </c>
      <c r="BM448" s="596">
        <f t="shared" si="1016"/>
        <v>0</v>
      </c>
      <c r="BN448" s="596">
        <f t="shared" si="1016"/>
        <v>0</v>
      </c>
      <c r="BO448" s="1139">
        <f t="shared" si="1016"/>
        <v>0</v>
      </c>
      <c r="BP448" s="1139">
        <f t="shared" si="1016"/>
        <v>0</v>
      </c>
      <c r="BQ448" s="1139">
        <f t="shared" si="1016"/>
        <v>0</v>
      </c>
      <c r="BR448" s="1139">
        <f t="shared" si="1016"/>
        <v>0</v>
      </c>
      <c r="BS448" s="37"/>
    </row>
    <row r="449" spans="1:71" s="674" customFormat="1" ht="15" hidden="1" outlineLevel="1">
      <c r="A449" s="485"/>
      <c r="B449" s="509"/>
      <c r="C449" s="1147"/>
      <c r="D449" s="1147"/>
      <c r="E449" s="1147"/>
      <c r="F449" s="1147"/>
      <c r="G449" s="1147"/>
      <c r="H449" s="426"/>
      <c r="I449" s="426"/>
      <c r="J449" s="426"/>
      <c r="K449" s="426"/>
      <c r="L449" s="1147"/>
      <c r="M449" s="426"/>
      <c r="N449" s="426"/>
      <c r="O449" s="426"/>
      <c r="P449" s="426"/>
      <c r="Q449" s="1147"/>
      <c r="R449" s="426"/>
      <c r="S449" s="426"/>
      <c r="T449" s="426"/>
      <c r="U449" s="426"/>
      <c r="V449" s="1147"/>
      <c r="W449" s="426"/>
      <c r="X449" s="426"/>
      <c r="Y449" s="426"/>
      <c r="Z449" s="426"/>
      <c r="AA449" s="1147"/>
      <c r="AB449" s="426"/>
      <c r="AC449" s="426"/>
      <c r="AD449" s="426"/>
      <c r="AE449" s="426"/>
      <c r="AF449" s="1147"/>
      <c r="AG449" s="426"/>
      <c r="AH449" s="426"/>
      <c r="AI449" s="426"/>
      <c r="AJ449" s="426"/>
      <c r="AK449" s="1147"/>
      <c r="AL449" s="426"/>
      <c r="AM449" s="426"/>
      <c r="AN449" s="426"/>
      <c r="AO449" s="426"/>
      <c r="AP449" s="1147"/>
      <c r="AQ449" s="426"/>
      <c r="AR449" s="426"/>
      <c r="AS449" s="426"/>
      <c r="AT449" s="426"/>
      <c r="AU449" s="1147"/>
      <c r="AV449" s="426"/>
      <c r="AW449" s="426"/>
      <c r="AX449" s="426"/>
      <c r="AY449" s="426"/>
      <c r="AZ449" s="1147"/>
      <c r="BA449" s="426"/>
      <c r="BB449" s="426"/>
      <c r="BC449" s="426"/>
      <c r="BD449" s="426"/>
      <c r="BE449" s="1147"/>
      <c r="BF449" s="426"/>
      <c r="BG449" s="426"/>
      <c r="BH449" s="487"/>
      <c r="BI449" s="159"/>
      <c r="BJ449" s="1148"/>
      <c r="BK449" s="159"/>
      <c r="BL449" s="159"/>
      <c r="BM449" s="159"/>
      <c r="BN449" s="159"/>
      <c r="BO449" s="1148"/>
      <c r="BP449" s="1147"/>
      <c r="BQ449" s="1147"/>
      <c r="BR449" s="1148"/>
      <c r="BS449" s="37"/>
    </row>
    <row r="450" spans="1:71" s="673" customFormat="1" ht="15" hidden="1" outlineLevel="1">
      <c r="A450" s="132" t="s">
        <v>309</v>
      </c>
      <c r="B450" s="417"/>
      <c r="C450" s="1131"/>
      <c r="D450" s="1131"/>
      <c r="E450" s="1131"/>
      <c r="F450" s="1131"/>
      <c r="G450" s="1131"/>
      <c r="H450" s="419"/>
      <c r="I450" s="419"/>
      <c r="J450" s="419"/>
      <c r="K450" s="288">
        <f>L450</f>
        <v>0</v>
      </c>
      <c r="L450" s="1131"/>
      <c r="M450" s="419"/>
      <c r="N450" s="419"/>
      <c r="O450" s="419"/>
      <c r="P450" s="288">
        <f>Q450</f>
        <v>0</v>
      </c>
      <c r="Q450" s="1131"/>
      <c r="R450" s="419"/>
      <c r="S450" s="419"/>
      <c r="T450" s="419"/>
      <c r="U450" s="288">
        <f>V450</f>
        <v>0</v>
      </c>
      <c r="V450" s="1131"/>
      <c r="W450" s="419"/>
      <c r="X450" s="419"/>
      <c r="Y450" s="419"/>
      <c r="Z450" s="288">
        <f>AA450</f>
        <v>0</v>
      </c>
      <c r="AA450" s="1131"/>
      <c r="AB450" s="419"/>
      <c r="AC450" s="419"/>
      <c r="AD450" s="419"/>
      <c r="AE450" s="288">
        <f>AF450</f>
        <v>0</v>
      </c>
      <c r="AF450" s="1131"/>
      <c r="AG450" s="419"/>
      <c r="AH450" s="419"/>
      <c r="AI450" s="419"/>
      <c r="AJ450" s="288">
        <f>AK450</f>
        <v>0</v>
      </c>
      <c r="AK450" s="1131"/>
      <c r="AL450" s="419"/>
      <c r="AM450" s="419"/>
      <c r="AN450" s="419"/>
      <c r="AO450" s="288">
        <f>AP450</f>
        <v>0</v>
      </c>
      <c r="AP450" s="1131"/>
      <c r="AQ450" s="419"/>
      <c r="AR450" s="419"/>
      <c r="AS450" s="419"/>
      <c r="AT450" s="288">
        <f>AU450</f>
        <v>0</v>
      </c>
      <c r="AU450" s="1131"/>
      <c r="AV450" s="419"/>
      <c r="AW450" s="419"/>
      <c r="AX450" s="419"/>
      <c r="AY450" s="288">
        <f>AZ450</f>
        <v>0</v>
      </c>
      <c r="AZ450" s="1131"/>
      <c r="BA450" s="419"/>
      <c r="BB450" s="419"/>
      <c r="BC450" s="419"/>
      <c r="BD450" s="419">
        <f>BE450</f>
        <v>0</v>
      </c>
      <c r="BE450" s="1131"/>
      <c r="BF450" s="419"/>
      <c r="BG450" s="419"/>
      <c r="BH450" s="464"/>
      <c r="BI450" s="171">
        <f>BJ450</f>
        <v>0</v>
      </c>
      <c r="BJ450" s="1133"/>
      <c r="BK450" s="171"/>
      <c r="BL450" s="171"/>
      <c r="BM450" s="171"/>
      <c r="BN450" s="171">
        <f>BO450</f>
        <v>0</v>
      </c>
      <c r="BO450" s="1133"/>
      <c r="BP450" s="1131"/>
      <c r="BQ450" s="1131"/>
      <c r="BR450" s="1133"/>
      <c r="BS450" s="32"/>
    </row>
    <row r="451" spans="1:71" s="674" customFormat="1" ht="15" hidden="1" outlineLevel="1">
      <c r="A451" s="485" t="s">
        <v>310</v>
      </c>
      <c r="B451" s="509"/>
      <c r="C451" s="1147">
        <f t="shared" si="1017" ref="C451:AK451">C448+C429+C408+C450</f>
        <v>-144</v>
      </c>
      <c r="D451" s="1147">
        <f t="shared" si="1017"/>
        <v>-21</v>
      </c>
      <c r="E451" s="1147">
        <f t="shared" si="1017"/>
        <v>225</v>
      </c>
      <c r="F451" s="1147">
        <f t="shared" si="1017"/>
        <v>381</v>
      </c>
      <c r="G451" s="1147">
        <f t="shared" si="1017"/>
        <v>-66</v>
      </c>
      <c r="H451" s="426">
        <f t="shared" si="1017"/>
        <v>237</v>
      </c>
      <c r="I451" s="426">
        <f t="shared" si="1017"/>
        <v>477</v>
      </c>
      <c r="J451" s="426">
        <f t="shared" si="1017"/>
        <v>-329</v>
      </c>
      <c r="K451" s="426">
        <f t="shared" si="1017"/>
        <v>-296</v>
      </c>
      <c r="L451" s="1147">
        <f t="shared" si="1017"/>
        <v>-296</v>
      </c>
      <c r="M451" s="426">
        <f t="shared" si="1017"/>
        <v>-131</v>
      </c>
      <c r="N451" s="426">
        <f t="shared" si="1017"/>
        <v>-127</v>
      </c>
      <c r="O451" s="426">
        <f t="shared" si="1017"/>
        <v>-449</v>
      </c>
      <c r="P451" s="426">
        <f t="shared" si="1017"/>
        <v>-123</v>
      </c>
      <c r="Q451" s="1147">
        <f t="shared" si="1017"/>
        <v>-123</v>
      </c>
      <c r="R451" s="426">
        <f t="shared" si="1017"/>
        <v>11</v>
      </c>
      <c r="S451" s="426">
        <f t="shared" si="1017"/>
        <v>328</v>
      </c>
      <c r="T451" s="426">
        <f t="shared" si="1017"/>
        <v>419</v>
      </c>
      <c r="U451" s="426">
        <f t="shared" si="1017"/>
        <v>887</v>
      </c>
      <c r="V451" s="1147">
        <f t="shared" si="1017"/>
        <v>887</v>
      </c>
      <c r="W451" s="426">
        <f t="shared" si="1017"/>
        <v>-217</v>
      </c>
      <c r="X451" s="426">
        <f t="shared" si="1017"/>
        <v>100</v>
      </c>
      <c r="Y451" s="426">
        <f t="shared" si="1017"/>
        <v>242</v>
      </c>
      <c r="Z451" s="426">
        <f t="shared" si="1017"/>
        <v>231</v>
      </c>
      <c r="AA451" s="1147">
        <f t="shared" si="1017"/>
        <v>231</v>
      </c>
      <c r="AB451" s="426">
        <f t="shared" si="1017"/>
        <v>-679</v>
      </c>
      <c r="AC451" s="426">
        <f t="shared" si="1017"/>
        <v>-528</v>
      </c>
      <c r="AD451" s="426">
        <f t="shared" si="1017"/>
        <v>-329</v>
      </c>
      <c r="AE451" s="426">
        <f t="shared" si="1017"/>
        <v>-823</v>
      </c>
      <c r="AF451" s="1147">
        <f t="shared" si="1017"/>
        <v>-823</v>
      </c>
      <c r="AG451" s="426">
        <f t="shared" si="1017"/>
        <v>485</v>
      </c>
      <c r="AH451" s="426">
        <f t="shared" si="1017"/>
        <v>859</v>
      </c>
      <c r="AI451" s="426">
        <f t="shared" si="1017"/>
        <v>1178</v>
      </c>
      <c r="AJ451" s="426">
        <f t="shared" si="1017"/>
        <v>799</v>
      </c>
      <c r="AK451" s="1147">
        <f t="shared" si="1017"/>
        <v>799</v>
      </c>
      <c r="AL451" s="426">
        <f t="shared" si="1018" ref="AL451:AQ451">AL448+AL429+AL408+AL450</f>
        <v>-641</v>
      </c>
      <c r="AM451" s="426">
        <f t="shared" si="1018"/>
        <v>384</v>
      </c>
      <c r="AN451" s="426">
        <f t="shared" si="1018"/>
        <v>1433</v>
      </c>
      <c r="AO451" s="426">
        <f t="shared" si="1018"/>
        <v>496</v>
      </c>
      <c r="AP451" s="1147">
        <f t="shared" si="1018"/>
        <v>496</v>
      </c>
      <c r="AQ451" s="426">
        <f t="shared" si="1018"/>
        <v>-483</v>
      </c>
      <c r="AR451" s="426">
        <f t="shared" si="1019" ref="AR451:AX451">AR448+AR429+AR408+AR450</f>
        <v>555</v>
      </c>
      <c r="AS451" s="426">
        <f t="shared" si="1019"/>
        <v>23</v>
      </c>
      <c r="AT451" s="426">
        <f t="shared" si="1019"/>
        <v>-679</v>
      </c>
      <c r="AU451" s="1147">
        <f t="shared" si="1019"/>
        <v>-679</v>
      </c>
      <c r="AV451" s="426">
        <f t="shared" si="1019"/>
        <v>-950</v>
      </c>
      <c r="AW451" s="426">
        <f t="shared" si="1019"/>
        <v>-1164</v>
      </c>
      <c r="AX451" s="426">
        <f t="shared" si="1019"/>
        <v>-1337</v>
      </c>
      <c r="AY451" s="426">
        <f>$AY$454-$AY$453</f>
        <v>-1259</v>
      </c>
      <c r="AZ451" s="1147">
        <f>$AZ$454-$AZ$453</f>
        <v>-1259</v>
      </c>
      <c r="BA451" s="426">
        <f>$BA$454-$BA$453</f>
        <v>-15</v>
      </c>
      <c r="BB451" s="426">
        <f t="shared" si="1020" ref="BB451">BB448+BB429+BB408+BB450</f>
        <v>116</v>
      </c>
      <c r="BC451" s="426">
        <f>BC448+BC429+BC408+BC450</f>
        <v>349</v>
      </c>
      <c r="BD451" s="426">
        <f t="shared" si="1021" ref="BD451:BG451">BD448+BD429+BD408+BD450</f>
        <v>353</v>
      </c>
      <c r="BE451" s="1147">
        <f t="shared" si="1021"/>
        <v>353</v>
      </c>
      <c r="BF451" s="426">
        <f t="shared" si="1021"/>
        <v>-138</v>
      </c>
      <c r="BG451" s="426">
        <f t="shared" si="1021"/>
        <v>-104</v>
      </c>
      <c r="BH451" s="487">
        <f>BH448+BH429+BH408+BH450</f>
        <v>97</v>
      </c>
      <c r="BI451" s="159">
        <f>BI448+BI429+BI408+BI450</f>
        <v>0</v>
      </c>
      <c r="BJ451" s="1148">
        <f t="shared" si="1022" ref="BJ451">BJ448+BJ429+BJ408+BJ450</f>
        <v>0</v>
      </c>
      <c r="BK451" s="159">
        <f t="shared" si="1023" ref="BK451:BR451">BK448+BK429+BK408+BK450</f>
        <v>0</v>
      </c>
      <c r="BL451" s="159">
        <f t="shared" si="1023"/>
        <v>0</v>
      </c>
      <c r="BM451" s="159">
        <f t="shared" si="1023"/>
        <v>0</v>
      </c>
      <c r="BN451" s="159">
        <f t="shared" si="1023"/>
        <v>0</v>
      </c>
      <c r="BO451" s="1148">
        <f t="shared" si="1023"/>
        <v>0</v>
      </c>
      <c r="BP451" s="1147">
        <f t="shared" si="1023"/>
        <v>0</v>
      </c>
      <c r="BQ451" s="1147">
        <f t="shared" si="1023"/>
        <v>0</v>
      </c>
      <c r="BR451" s="1148">
        <f t="shared" si="1023"/>
        <v>0</v>
      </c>
      <c r="BS451" s="37"/>
    </row>
    <row r="452" spans="1:71" s="674" customFormat="1" ht="15" hidden="1" outlineLevel="1">
      <c r="A452" s="485"/>
      <c r="B452" s="509"/>
      <c r="C452" s="1147"/>
      <c r="D452" s="1147"/>
      <c r="E452" s="1147"/>
      <c r="F452" s="1147"/>
      <c r="G452" s="1147"/>
      <c r="H452" s="426"/>
      <c r="I452" s="426"/>
      <c r="J452" s="426"/>
      <c r="K452" s="426"/>
      <c r="L452" s="1147"/>
      <c r="M452" s="426"/>
      <c r="N452" s="426"/>
      <c r="O452" s="426"/>
      <c r="P452" s="426"/>
      <c r="Q452" s="1147"/>
      <c r="R452" s="426"/>
      <c r="S452" s="426"/>
      <c r="T452" s="426"/>
      <c r="U452" s="426"/>
      <c r="V452" s="1147"/>
      <c r="W452" s="426"/>
      <c r="X452" s="426"/>
      <c r="Y452" s="426"/>
      <c r="Z452" s="426"/>
      <c r="AA452" s="1147"/>
      <c r="AB452" s="426"/>
      <c r="AC452" s="426"/>
      <c r="AD452" s="426"/>
      <c r="AE452" s="426"/>
      <c r="AF452" s="1147"/>
      <c r="AG452" s="426"/>
      <c r="AH452" s="426"/>
      <c r="AI452" s="426"/>
      <c r="AJ452" s="426"/>
      <c r="AK452" s="1147"/>
      <c r="AL452" s="426"/>
      <c r="AM452" s="426"/>
      <c r="AN452" s="426"/>
      <c r="AO452" s="426"/>
      <c r="AP452" s="1147"/>
      <c r="AQ452" s="426"/>
      <c r="AR452" s="426"/>
      <c r="AS452" s="426"/>
      <c r="AT452" s="426"/>
      <c r="AU452" s="1147"/>
      <c r="AV452" s="426"/>
      <c r="AW452" s="426"/>
      <c r="AX452" s="426"/>
      <c r="AY452" s="426"/>
      <c r="AZ452" s="1147"/>
      <c r="BA452" s="426"/>
      <c r="BB452" s="426"/>
      <c r="BC452" s="426"/>
      <c r="BD452" s="426"/>
      <c r="BE452" s="1147"/>
      <c r="BF452" s="426"/>
      <c r="BG452" s="426"/>
      <c r="BH452" s="487"/>
      <c r="BI452" s="159"/>
      <c r="BJ452" s="1148"/>
      <c r="BK452" s="159"/>
      <c r="BL452" s="159"/>
      <c r="BM452" s="159"/>
      <c r="BN452" s="159"/>
      <c r="BO452" s="1148"/>
      <c r="BP452" s="1147"/>
      <c r="BQ452" s="1147"/>
      <c r="BR452" s="1148"/>
      <c r="BS452" s="37"/>
    </row>
    <row r="453" spans="1:71" s="674" customFormat="1" ht="15" hidden="1" outlineLevel="1">
      <c r="A453" s="485" t="s">
        <v>311</v>
      </c>
      <c r="B453" s="509"/>
      <c r="C453" s="1194">
        <v>1264</v>
      </c>
      <c r="D453" s="1147">
        <f>C454</f>
        <v>1120</v>
      </c>
      <c r="E453" s="1147">
        <f>D454</f>
        <v>1099</v>
      </c>
      <c r="F453" s="1147">
        <f>E454</f>
        <v>1324</v>
      </c>
      <c r="G453" s="1147">
        <f>F454</f>
        <v>1705</v>
      </c>
      <c r="H453" s="426">
        <f>G454</f>
        <v>1639</v>
      </c>
      <c r="I453" s="426">
        <f>H453</f>
        <v>1639</v>
      </c>
      <c r="J453" s="426">
        <f>I453</f>
        <v>1639</v>
      </c>
      <c r="K453" s="426">
        <f>J453</f>
        <v>1639</v>
      </c>
      <c r="L453" s="1147">
        <f>K453</f>
        <v>1639</v>
      </c>
      <c r="M453" s="426">
        <f>L454</f>
        <v>1343</v>
      </c>
      <c r="N453" s="426">
        <f>M453</f>
        <v>1343</v>
      </c>
      <c r="O453" s="426">
        <f>N453</f>
        <v>1343</v>
      </c>
      <c r="P453" s="426">
        <f>O453</f>
        <v>1343</v>
      </c>
      <c r="Q453" s="1147">
        <f>P453</f>
        <v>1343</v>
      </c>
      <c r="R453" s="426">
        <f>Q454</f>
        <v>1220</v>
      </c>
      <c r="S453" s="426">
        <f>R453</f>
        <v>1220</v>
      </c>
      <c r="T453" s="426">
        <f>S453</f>
        <v>1220</v>
      </c>
      <c r="U453" s="426">
        <f>T453</f>
        <v>1220</v>
      </c>
      <c r="V453" s="1147">
        <f>U453</f>
        <v>1220</v>
      </c>
      <c r="W453" s="426">
        <f>V454</f>
        <v>2107</v>
      </c>
      <c r="X453" s="426">
        <f>W453</f>
        <v>2107</v>
      </c>
      <c r="Y453" s="426">
        <f>X453</f>
        <v>2107</v>
      </c>
      <c r="Z453" s="426">
        <f>Y453</f>
        <v>2107</v>
      </c>
      <c r="AA453" s="1147">
        <f>Z453</f>
        <v>2107</v>
      </c>
      <c r="AB453" s="426">
        <f>AA454</f>
        <v>2338</v>
      </c>
      <c r="AC453" s="426">
        <f>AB453</f>
        <v>2338</v>
      </c>
      <c r="AD453" s="426">
        <f>AC453</f>
        <v>2338</v>
      </c>
      <c r="AE453" s="426">
        <f>AD453</f>
        <v>2338</v>
      </c>
      <c r="AF453" s="1147">
        <f>AE453</f>
        <v>2338</v>
      </c>
      <c r="AG453" s="426">
        <f>AF454</f>
        <v>1515</v>
      </c>
      <c r="AH453" s="426">
        <f>AG453</f>
        <v>1515</v>
      </c>
      <c r="AI453" s="426">
        <f>AH453</f>
        <v>1515</v>
      </c>
      <c r="AJ453" s="426">
        <f>AI453</f>
        <v>1515</v>
      </c>
      <c r="AK453" s="1147">
        <f>AJ453</f>
        <v>1515</v>
      </c>
      <c r="AL453" s="426">
        <f>AK454</f>
        <v>2314</v>
      </c>
      <c r="AM453" s="426">
        <f>AL453</f>
        <v>2314</v>
      </c>
      <c r="AN453" s="426">
        <f>AM453</f>
        <v>2314</v>
      </c>
      <c r="AO453" s="426">
        <f>AN453</f>
        <v>2314</v>
      </c>
      <c r="AP453" s="1147">
        <f>AO453</f>
        <v>2314</v>
      </c>
      <c r="AQ453" s="426">
        <f>AP454</f>
        <v>2810</v>
      </c>
      <c r="AR453" s="426">
        <f>AQ453</f>
        <v>2810</v>
      </c>
      <c r="AS453" s="426">
        <f>AR453</f>
        <v>2810</v>
      </c>
      <c r="AT453" s="426">
        <f>AS453</f>
        <v>2810</v>
      </c>
      <c r="AU453" s="1147">
        <f>AT453</f>
        <v>2810</v>
      </c>
      <c r="AV453" s="426">
        <f>AU454</f>
        <v>2131</v>
      </c>
      <c r="AW453" s="426">
        <f>AV453</f>
        <v>2131</v>
      </c>
      <c r="AX453" s="426">
        <f>AW453</f>
        <v>2131</v>
      </c>
      <c r="AY453" s="426">
        <f>AX453</f>
        <v>2131</v>
      </c>
      <c r="AZ453" s="1147">
        <f>AY453</f>
        <v>2131</v>
      </c>
      <c r="BA453" s="426">
        <f>AZ454</f>
        <v>872</v>
      </c>
      <c r="BB453" s="426">
        <f>BA453</f>
        <v>872</v>
      </c>
      <c r="BC453" s="426">
        <f>BB453</f>
        <v>872</v>
      </c>
      <c r="BD453" s="426">
        <f>BC453</f>
        <v>872</v>
      </c>
      <c r="BE453" s="1147">
        <f>BD453</f>
        <v>872</v>
      </c>
      <c r="BF453" s="426">
        <f>BE454</f>
        <v>1225</v>
      </c>
      <c r="BG453" s="426">
        <f>BF453</f>
        <v>1225</v>
      </c>
      <c r="BH453" s="487">
        <f>BG453</f>
        <v>1225</v>
      </c>
      <c r="BI453" s="159"/>
      <c r="BJ453" s="1148"/>
      <c r="BK453" s="159"/>
      <c r="BL453" s="159"/>
      <c r="BM453" s="159"/>
      <c r="BN453" s="159"/>
      <c r="BO453" s="1148"/>
      <c r="BP453" s="1147"/>
      <c r="BQ453" s="1147"/>
      <c r="BR453" s="1148"/>
      <c r="BS453" s="37"/>
    </row>
    <row r="454" spans="1:71" s="674" customFormat="1" ht="15" hidden="1" outlineLevel="1">
      <c r="A454" s="485" t="s">
        <v>312</v>
      </c>
      <c r="B454" s="509"/>
      <c r="C454" s="1147">
        <f t="shared" si="1024" ref="C454:AK454">C451+C453</f>
        <v>1120</v>
      </c>
      <c r="D454" s="1147">
        <f t="shared" si="1024"/>
        <v>1099</v>
      </c>
      <c r="E454" s="1147">
        <f t="shared" si="1024"/>
        <v>1324</v>
      </c>
      <c r="F454" s="1147">
        <f t="shared" si="1024"/>
        <v>1705</v>
      </c>
      <c r="G454" s="1147">
        <f t="shared" si="1024"/>
        <v>1639</v>
      </c>
      <c r="H454" s="426">
        <f t="shared" si="1024"/>
        <v>1876</v>
      </c>
      <c r="I454" s="426">
        <f t="shared" si="1024"/>
        <v>2116</v>
      </c>
      <c r="J454" s="426">
        <f t="shared" si="1024"/>
        <v>1310</v>
      </c>
      <c r="K454" s="426">
        <f t="shared" si="1024"/>
        <v>1343</v>
      </c>
      <c r="L454" s="1147">
        <f t="shared" si="1024"/>
        <v>1343</v>
      </c>
      <c r="M454" s="426">
        <f t="shared" si="1024"/>
        <v>1212</v>
      </c>
      <c r="N454" s="426">
        <f t="shared" si="1024"/>
        <v>1216</v>
      </c>
      <c r="O454" s="426">
        <f t="shared" si="1024"/>
        <v>894</v>
      </c>
      <c r="P454" s="426">
        <f t="shared" si="1024"/>
        <v>1220</v>
      </c>
      <c r="Q454" s="1147">
        <f t="shared" si="1024"/>
        <v>1220</v>
      </c>
      <c r="R454" s="426">
        <f t="shared" si="1024"/>
        <v>1231</v>
      </c>
      <c r="S454" s="426">
        <f t="shared" si="1024"/>
        <v>1548</v>
      </c>
      <c r="T454" s="426">
        <f t="shared" si="1024"/>
        <v>1639</v>
      </c>
      <c r="U454" s="426">
        <f t="shared" si="1024"/>
        <v>2107</v>
      </c>
      <c r="V454" s="1147">
        <f t="shared" si="1024"/>
        <v>2107</v>
      </c>
      <c r="W454" s="426">
        <f t="shared" si="1024"/>
        <v>1890</v>
      </c>
      <c r="X454" s="426">
        <f t="shared" si="1024"/>
        <v>2207</v>
      </c>
      <c r="Y454" s="426">
        <f t="shared" si="1024"/>
        <v>2349</v>
      </c>
      <c r="Z454" s="426">
        <f t="shared" si="1024"/>
        <v>2338</v>
      </c>
      <c r="AA454" s="1147">
        <f t="shared" si="1024"/>
        <v>2338</v>
      </c>
      <c r="AB454" s="426">
        <f t="shared" si="1024"/>
        <v>1659</v>
      </c>
      <c r="AC454" s="426">
        <f t="shared" si="1024"/>
        <v>1810</v>
      </c>
      <c r="AD454" s="426">
        <f t="shared" si="1024"/>
        <v>2009</v>
      </c>
      <c r="AE454" s="426">
        <f t="shared" si="1024"/>
        <v>1515</v>
      </c>
      <c r="AF454" s="1147">
        <f t="shared" si="1024"/>
        <v>1515</v>
      </c>
      <c r="AG454" s="426">
        <f t="shared" si="1024"/>
        <v>2000</v>
      </c>
      <c r="AH454" s="426">
        <f t="shared" si="1024"/>
        <v>2374</v>
      </c>
      <c r="AI454" s="426">
        <f t="shared" si="1024"/>
        <v>2693</v>
      </c>
      <c r="AJ454" s="426">
        <f t="shared" si="1024"/>
        <v>2314</v>
      </c>
      <c r="AK454" s="1147">
        <f t="shared" si="1024"/>
        <v>2314</v>
      </c>
      <c r="AL454" s="426">
        <f t="shared" si="1025" ref="AL454:AQ454">AL451+AL453</f>
        <v>1673</v>
      </c>
      <c r="AM454" s="426">
        <f t="shared" si="1025"/>
        <v>2698</v>
      </c>
      <c r="AN454" s="426">
        <f t="shared" si="1025"/>
        <v>3747</v>
      </c>
      <c r="AO454" s="426">
        <f t="shared" si="1025"/>
        <v>2810</v>
      </c>
      <c r="AP454" s="1147">
        <f t="shared" si="1025"/>
        <v>2810</v>
      </c>
      <c r="AQ454" s="426">
        <f t="shared" si="1025"/>
        <v>2327</v>
      </c>
      <c r="AR454" s="426">
        <f t="shared" si="1026" ref="AR454:AX454">AR451+AR453</f>
        <v>3365</v>
      </c>
      <c r="AS454" s="426">
        <f t="shared" si="1026"/>
        <v>2833</v>
      </c>
      <c r="AT454" s="426">
        <f t="shared" si="1026"/>
        <v>2131</v>
      </c>
      <c r="AU454" s="1147">
        <f t="shared" si="1026"/>
        <v>2131</v>
      </c>
      <c r="AV454" s="426">
        <f t="shared" si="1026"/>
        <v>1181</v>
      </c>
      <c r="AW454" s="426">
        <f t="shared" si="1026"/>
        <v>967</v>
      </c>
      <c r="AX454" s="426">
        <f t="shared" si="1026"/>
        <v>794</v>
      </c>
      <c r="AY454" s="426">
        <f>AY522</f>
        <v>872</v>
      </c>
      <c r="AZ454" s="1147">
        <f>AZ522</f>
        <v>872</v>
      </c>
      <c r="BA454" s="426">
        <f>BA522</f>
        <v>857</v>
      </c>
      <c r="BB454" s="426">
        <f t="shared" si="1027" ref="BB454">BB451+BB453</f>
        <v>988</v>
      </c>
      <c r="BC454" s="426">
        <f>BC451+BC453</f>
        <v>1221</v>
      </c>
      <c r="BD454" s="426">
        <f t="shared" si="1028" ref="BD454:BG454">BD451+BD453</f>
        <v>1225</v>
      </c>
      <c r="BE454" s="1147">
        <f t="shared" si="1028"/>
        <v>1225</v>
      </c>
      <c r="BF454" s="426">
        <f t="shared" si="1028"/>
        <v>1087</v>
      </c>
      <c r="BG454" s="426">
        <f t="shared" si="1028"/>
        <v>1121</v>
      </c>
      <c r="BH454" s="487">
        <f>BH451+BH453</f>
        <v>1322</v>
      </c>
      <c r="BI454" s="159"/>
      <c r="BJ454" s="1148"/>
      <c r="BK454" s="159"/>
      <c r="BL454" s="159"/>
      <c r="BM454" s="159"/>
      <c r="BN454" s="159"/>
      <c r="BO454" s="1148"/>
      <c r="BP454" s="1147"/>
      <c r="BQ454" s="1147"/>
      <c r="BR454" s="1148"/>
      <c r="BS454" s="37"/>
    </row>
    <row r="455" spans="1:71" s="674" customFormat="1" ht="15" hidden="1" outlineLevel="1">
      <c r="A455" s="485"/>
      <c r="B455" s="509"/>
      <c r="C455" s="1147"/>
      <c r="D455" s="1147"/>
      <c r="E455" s="1147"/>
      <c r="F455" s="1147"/>
      <c r="G455" s="1147"/>
      <c r="H455" s="426"/>
      <c r="I455" s="426"/>
      <c r="J455" s="426"/>
      <c r="K455" s="426"/>
      <c r="L455" s="1147"/>
      <c r="M455" s="426"/>
      <c r="N455" s="426"/>
      <c r="O455" s="426"/>
      <c r="P455" s="426"/>
      <c r="Q455" s="1147"/>
      <c r="R455" s="426"/>
      <c r="S455" s="426"/>
      <c r="T455" s="426"/>
      <c r="U455" s="426"/>
      <c r="V455" s="1147"/>
      <c r="W455" s="426"/>
      <c r="X455" s="426"/>
      <c r="Y455" s="426"/>
      <c r="Z455" s="426"/>
      <c r="AA455" s="1147"/>
      <c r="AB455" s="426"/>
      <c r="AC455" s="426"/>
      <c r="AD455" s="426"/>
      <c r="AE455" s="426"/>
      <c r="AF455" s="1147"/>
      <c r="AG455" s="426"/>
      <c r="AH455" s="426"/>
      <c r="AI455" s="426"/>
      <c r="AJ455" s="426"/>
      <c r="AK455" s="1147"/>
      <c r="AL455" s="426"/>
      <c r="AM455" s="426"/>
      <c r="AN455" s="426"/>
      <c r="AO455" s="426"/>
      <c r="AP455" s="1147"/>
      <c r="AQ455" s="426"/>
      <c r="AR455" s="426"/>
      <c r="AS455" s="426"/>
      <c r="AT455" s="426"/>
      <c r="AU455" s="1147"/>
      <c r="AV455" s="426"/>
      <c r="AW455" s="426"/>
      <c r="AX455" s="426"/>
      <c r="AY455" s="426"/>
      <c r="AZ455" s="1147"/>
      <c r="BA455" s="426"/>
      <c r="BB455" s="426"/>
      <c r="BC455" s="426"/>
      <c r="BD455" s="426"/>
      <c r="BE455" s="1147"/>
      <c r="BF455" s="426"/>
      <c r="BG455" s="426"/>
      <c r="BH455" s="487"/>
      <c r="BI455" s="159"/>
      <c r="BJ455" s="1148"/>
      <c r="BK455" s="159"/>
      <c r="BL455" s="159"/>
      <c r="BM455" s="159"/>
      <c r="BN455" s="159"/>
      <c r="BO455" s="1148"/>
      <c r="BP455" s="1147"/>
      <c r="BQ455" s="1147"/>
      <c r="BR455" s="1148"/>
      <c r="BS455" s="37"/>
    </row>
    <row r="456" spans="1:71" s="673" customFormat="1" ht="15" hidden="1" outlineLevel="1">
      <c r="A456" s="421" t="s">
        <v>605</v>
      </c>
      <c r="B456" s="417"/>
      <c r="C456" s="1132">
        <v>64</v>
      </c>
      <c r="D456" s="1132">
        <v>68</v>
      </c>
      <c r="E456" s="1132">
        <v>74</v>
      </c>
      <c r="F456" s="1132">
        <v>75</v>
      </c>
      <c r="G456" s="1132">
        <v>71</v>
      </c>
      <c r="H456" s="419"/>
      <c r="I456" s="419"/>
      <c r="J456" s="419"/>
      <c r="K456" s="419"/>
      <c r="L456" s="1132">
        <v>72</v>
      </c>
      <c r="M456" s="419"/>
      <c r="N456" s="419"/>
      <c r="O456" s="419"/>
      <c r="P456" s="419"/>
      <c r="Q456" s="1132">
        <v>75</v>
      </c>
      <c r="R456" s="419"/>
      <c r="S456" s="419"/>
      <c r="T456" s="419"/>
      <c r="U456" s="419"/>
      <c r="V456" s="1132">
        <v>75</v>
      </c>
      <c r="W456" s="419"/>
      <c r="X456" s="419"/>
      <c r="Y456" s="419"/>
      <c r="Z456" s="419"/>
      <c r="AA456" s="1132">
        <v>85</v>
      </c>
      <c r="AB456" s="419"/>
      <c r="AC456" s="419"/>
      <c r="AD456" s="419"/>
      <c r="AE456" s="419"/>
      <c r="AF456" s="1132">
        <v>59</v>
      </c>
      <c r="AG456" s="419"/>
      <c r="AH456" s="419"/>
      <c r="AI456" s="419"/>
      <c r="AJ456" s="419"/>
      <c r="AK456" s="1132">
        <v>65</v>
      </c>
      <c r="AL456" s="419"/>
      <c r="AM456" s="419"/>
      <c r="AN456" s="419"/>
      <c r="AO456" s="419"/>
      <c r="AP456" s="1132">
        <v>83</v>
      </c>
      <c r="AQ456" s="419"/>
      <c r="AR456" s="419"/>
      <c r="AS456" s="419"/>
      <c r="AT456" s="419"/>
      <c r="AU456" s="1132">
        <v>92</v>
      </c>
      <c r="AV456" s="419"/>
      <c r="AW456" s="419"/>
      <c r="AX456" s="419"/>
      <c r="AY456" s="419"/>
      <c r="AZ456" s="1132">
        <v>89</v>
      </c>
      <c r="BA456" s="419"/>
      <c r="BB456" s="419"/>
      <c r="BC456" s="419"/>
      <c r="BD456" s="419"/>
      <c r="BE456" s="1132">
        <v>74</v>
      </c>
      <c r="BF456" s="419"/>
      <c r="BG456" s="419"/>
      <c r="BH456" s="464"/>
      <c r="BI456" s="171"/>
      <c r="BJ456" s="1133"/>
      <c r="BK456" s="171"/>
      <c r="BL456" s="171"/>
      <c r="BM456" s="171"/>
      <c r="BN456" s="171"/>
      <c r="BO456" s="1133"/>
      <c r="BP456" s="1131"/>
      <c r="BQ456" s="1131"/>
      <c r="BR456" s="1133"/>
      <c r="BS456" s="32"/>
    </row>
    <row r="457" spans="1:71" s="673" customFormat="1" ht="15" hidden="1" outlineLevel="1">
      <c r="A457" s="421" t="s">
        <v>604</v>
      </c>
      <c r="B457" s="417"/>
      <c r="C457" s="1132">
        <v>190</v>
      </c>
      <c r="D457" s="1132">
        <v>196</v>
      </c>
      <c r="E457" s="1132">
        <v>157</v>
      </c>
      <c r="F457" s="1132">
        <v>277</v>
      </c>
      <c r="G457" s="1132">
        <v>204</v>
      </c>
      <c r="H457" s="419"/>
      <c r="I457" s="419"/>
      <c r="J457" s="419"/>
      <c r="K457" s="419"/>
      <c r="L457" s="1132">
        <v>347</v>
      </c>
      <c r="M457" s="419"/>
      <c r="N457" s="419"/>
      <c r="O457" s="419"/>
      <c r="P457" s="419"/>
      <c r="Q457" s="1132">
        <v>234</v>
      </c>
      <c r="R457" s="419"/>
      <c r="S457" s="419"/>
      <c r="T457" s="419"/>
      <c r="U457" s="419"/>
      <c r="V457" s="1132">
        <v>308</v>
      </c>
      <c r="W457" s="419"/>
      <c r="X457" s="419"/>
      <c r="Y457" s="419"/>
      <c r="Z457" s="419"/>
      <c r="AA457" s="1132">
        <v>194</v>
      </c>
      <c r="AB457" s="419"/>
      <c r="AC457" s="419"/>
      <c r="AD457" s="419"/>
      <c r="AE457" s="419"/>
      <c r="AF457" s="1132">
        <v>156</v>
      </c>
      <c r="AG457" s="419"/>
      <c r="AH457" s="419"/>
      <c r="AI457" s="419"/>
      <c r="AJ457" s="419"/>
      <c r="AK457" s="1132">
        <v>278</v>
      </c>
      <c r="AL457" s="419"/>
      <c r="AM457" s="419"/>
      <c r="AN457" s="419"/>
      <c r="AO457" s="419"/>
      <c r="AP457" s="1132">
        <v>179</v>
      </c>
      <c r="AQ457" s="419"/>
      <c r="AR457" s="419"/>
      <c r="AS457" s="419"/>
      <c r="AT457" s="419"/>
      <c r="AU457" s="1132">
        <v>212</v>
      </c>
      <c r="AV457" s="419"/>
      <c r="AW457" s="419"/>
      <c r="AX457" s="419"/>
      <c r="AY457" s="419"/>
      <c r="AZ457" s="1132">
        <v>242</v>
      </c>
      <c r="BA457" s="419"/>
      <c r="BB457" s="419"/>
      <c r="BC457" s="419"/>
      <c r="BD457" s="419"/>
      <c r="BE457" s="1132">
        <v>201</v>
      </c>
      <c r="BF457" s="419"/>
      <c r="BG457" s="419"/>
      <c r="BH457" s="464"/>
      <c r="BI457" s="171"/>
      <c r="BJ457" s="1133"/>
      <c r="BK457" s="171"/>
      <c r="BL457" s="171"/>
      <c r="BM457" s="171"/>
      <c r="BN457" s="171"/>
      <c r="BO457" s="1133"/>
      <c r="BP457" s="1131"/>
      <c r="BQ457" s="1131"/>
      <c r="BR457" s="1133"/>
      <c r="BS457" s="32"/>
    </row>
    <row r="458" spans="1:71" s="674" customFormat="1" ht="15" collapsed="1">
      <c r="A458" s="485"/>
      <c r="B458" s="509"/>
      <c r="C458" s="1147"/>
      <c r="D458" s="1147"/>
      <c r="E458" s="1147"/>
      <c r="F458" s="1147"/>
      <c r="G458" s="1147"/>
      <c r="H458" s="426"/>
      <c r="I458" s="426"/>
      <c r="J458" s="426"/>
      <c r="K458" s="426"/>
      <c r="L458" s="1147"/>
      <c r="M458" s="426"/>
      <c r="N458" s="426"/>
      <c r="O458" s="426"/>
      <c r="P458" s="426"/>
      <c r="Q458" s="1147"/>
      <c r="R458" s="426"/>
      <c r="S458" s="426"/>
      <c r="T458" s="426"/>
      <c r="U458" s="426"/>
      <c r="V458" s="1147"/>
      <c r="W458" s="426"/>
      <c r="X458" s="426"/>
      <c r="Y458" s="426"/>
      <c r="Z458" s="426"/>
      <c r="AA458" s="1147"/>
      <c r="AB458" s="426"/>
      <c r="AC458" s="426"/>
      <c r="AD458" s="426"/>
      <c r="AE458" s="426"/>
      <c r="AF458" s="1147"/>
      <c r="AG458" s="426"/>
      <c r="AH458" s="426"/>
      <c r="AI458" s="426"/>
      <c r="AJ458" s="426"/>
      <c r="AK458" s="1147"/>
      <c r="AL458" s="426"/>
      <c r="AM458" s="426"/>
      <c r="AN458" s="426"/>
      <c r="AO458" s="426"/>
      <c r="AP458" s="1147"/>
      <c r="AQ458" s="426"/>
      <c r="AR458" s="426"/>
      <c r="AS458" s="426"/>
      <c r="AT458" s="426"/>
      <c r="AU458" s="1147"/>
      <c r="AV458" s="426"/>
      <c r="AW458" s="426"/>
      <c r="AX458" s="426"/>
      <c r="AY458" s="426"/>
      <c r="AZ458" s="1147"/>
      <c r="BA458" s="426"/>
      <c r="BB458" s="426"/>
      <c r="BC458" s="426"/>
      <c r="BD458" s="426"/>
      <c r="BE458" s="1147"/>
      <c r="BF458" s="426"/>
      <c r="BG458" s="426"/>
      <c r="BH458" s="487"/>
      <c r="BI458" s="159"/>
      <c r="BJ458" s="1148"/>
      <c r="BK458" s="159"/>
      <c r="BL458" s="159"/>
      <c r="BM458" s="159"/>
      <c r="BN458" s="159"/>
      <c r="BO458" s="1148"/>
      <c r="BP458" s="1147"/>
      <c r="BQ458" s="1147"/>
      <c r="BR458" s="1148"/>
      <c r="BS458" s="37"/>
    </row>
    <row r="459" spans="1:71" s="674" customFormat="1" ht="15">
      <c r="A459" s="434" t="s">
        <v>313</v>
      </c>
      <c r="B459" s="434"/>
      <c r="C459" s="280"/>
      <c r="D459" s="280"/>
      <c r="E459" s="280"/>
      <c r="F459" s="280"/>
      <c r="G459" s="280"/>
      <c r="H459" s="280"/>
      <c r="I459" s="280"/>
      <c r="J459" s="280"/>
      <c r="K459" s="280"/>
      <c r="L459" s="280"/>
      <c r="M459" s="280"/>
      <c r="N459" s="280"/>
      <c r="O459" s="280"/>
      <c r="P459" s="280"/>
      <c r="Q459" s="280"/>
      <c r="R459" s="280"/>
      <c r="S459" s="280"/>
      <c r="T459" s="280"/>
      <c r="U459" s="280"/>
      <c r="V459" s="280"/>
      <c r="W459" s="280"/>
      <c r="X459" s="280"/>
      <c r="Y459" s="280"/>
      <c r="Z459" s="280"/>
      <c r="AA459" s="280"/>
      <c r="AB459" s="280"/>
      <c r="AC459" s="280"/>
      <c r="AD459" s="280"/>
      <c r="AE459" s="280"/>
      <c r="AF459" s="280"/>
      <c r="AG459" s="280"/>
      <c r="AH459" s="280"/>
      <c r="AI459" s="280"/>
      <c r="AJ459" s="280"/>
      <c r="AK459" s="280"/>
      <c r="AL459" s="280"/>
      <c r="AM459" s="280"/>
      <c r="AN459" s="280"/>
      <c r="AO459" s="280"/>
      <c r="AP459" s="280"/>
      <c r="AQ459" s="280"/>
      <c r="AR459" s="280"/>
      <c r="AS459" s="280"/>
      <c r="AT459" s="280"/>
      <c r="AU459" s="280"/>
      <c r="AV459" s="280"/>
      <c r="AW459" s="280"/>
      <c r="AX459" s="280"/>
      <c r="AY459" s="280"/>
      <c r="AZ459" s="280"/>
      <c r="BA459" s="280"/>
      <c r="BB459" s="280"/>
      <c r="BC459" s="280"/>
      <c r="BD459" s="280"/>
      <c r="BE459" s="280"/>
      <c r="BF459" s="280"/>
      <c r="BG459" s="280"/>
      <c r="BH459" s="380"/>
      <c r="BI459" s="434"/>
      <c r="BJ459" s="434"/>
      <c r="BK459" s="434"/>
      <c r="BL459" s="434"/>
      <c r="BM459" s="434"/>
      <c r="BN459" s="434"/>
      <c r="BO459" s="434"/>
      <c r="BP459" s="280"/>
      <c r="BQ459" s="280"/>
      <c r="BR459" s="434"/>
      <c r="BS459" s="37"/>
    </row>
    <row r="460" spans="1:71" s="681" customFormat="1" ht="15">
      <c r="A460" s="485" t="str">
        <f t="shared" si="1029" ref="A460:A476">A392</f>
        <v>CFO</v>
      </c>
      <c r="B460" s="509"/>
      <c r="C460" s="1147"/>
      <c r="D460" s="1147"/>
      <c r="E460" s="1147"/>
      <c r="F460" s="1147"/>
      <c r="G460" s="1147"/>
      <c r="H460" s="426"/>
      <c r="I460" s="426"/>
      <c r="J460" s="426"/>
      <c r="K460" s="426"/>
      <c r="L460" s="1147"/>
      <c r="M460" s="426"/>
      <c r="N460" s="426"/>
      <c r="O460" s="426"/>
      <c r="P460" s="426"/>
      <c r="Q460" s="1147"/>
      <c r="R460" s="426"/>
      <c r="S460" s="426"/>
      <c r="T460" s="426"/>
      <c r="U460" s="426"/>
      <c r="V460" s="1147"/>
      <c r="W460" s="426"/>
      <c r="X460" s="426"/>
      <c r="Y460" s="426"/>
      <c r="Z460" s="426"/>
      <c r="AA460" s="1147"/>
      <c r="AB460" s="426"/>
      <c r="AC460" s="426"/>
      <c r="AD460" s="426"/>
      <c r="AE460" s="426"/>
      <c r="AF460" s="1147"/>
      <c r="AG460" s="426"/>
      <c r="AH460" s="426"/>
      <c r="AI460" s="426"/>
      <c r="AJ460" s="426"/>
      <c r="AK460" s="1147"/>
      <c r="AL460" s="426"/>
      <c r="AM460" s="426"/>
      <c r="AN460" s="426"/>
      <c r="AO460" s="426"/>
      <c r="AP460" s="1147"/>
      <c r="AQ460" s="426"/>
      <c r="AR460" s="426"/>
      <c r="AS460" s="426"/>
      <c r="AT460" s="426"/>
      <c r="AU460" s="1147"/>
      <c r="AV460" s="426"/>
      <c r="AW460" s="426"/>
      <c r="AX460" s="426"/>
      <c r="AY460" s="426"/>
      <c r="AZ460" s="1147"/>
      <c r="BA460" s="426"/>
      <c r="BB460" s="426"/>
      <c r="BC460" s="426"/>
      <c r="BD460" s="426"/>
      <c r="BE460" s="1147"/>
      <c r="BF460" s="426"/>
      <c r="BG460" s="426"/>
      <c r="BH460" s="487"/>
      <c r="BI460" s="159"/>
      <c r="BJ460" s="1148"/>
      <c r="BK460" s="159"/>
      <c r="BL460" s="159"/>
      <c r="BM460" s="159"/>
      <c r="BN460" s="159"/>
      <c r="BO460" s="1148"/>
      <c r="BP460" s="1147"/>
      <c r="BQ460" s="1147"/>
      <c r="BR460" s="1148"/>
      <c r="BS460" s="124"/>
    </row>
    <row r="461" spans="1:71" s="680" customFormat="1" ht="15">
      <c r="A461" s="420" t="str">
        <f t="shared" si="1029"/>
        <v>Net earnings, including noncontrolling interests</v>
      </c>
      <c r="B461" s="417"/>
      <c r="C461" s="1131">
        <f t="shared" si="1030" ref="C461:H467">C393</f>
        <v>530</v>
      </c>
      <c r="D461" s="1131">
        <f t="shared" si="1030"/>
        <v>423</v>
      </c>
      <c r="E461" s="1131">
        <f t="shared" si="1030"/>
        <v>319</v>
      </c>
      <c r="F461" s="1131">
        <f t="shared" si="1030"/>
        <v>402</v>
      </c>
      <c r="G461" s="1131">
        <f t="shared" si="1030"/>
        <v>453</v>
      </c>
      <c r="H461" s="419">
        <f t="shared" si="1030"/>
        <v>107</v>
      </c>
      <c r="I461" s="419">
        <f t="shared" si="1031" ref="I461:K467">I393-H393</f>
        <v>83</v>
      </c>
      <c r="J461" s="419">
        <f t="shared" si="1031"/>
        <v>91</v>
      </c>
      <c r="K461" s="419">
        <f t="shared" si="1031"/>
        <v>125</v>
      </c>
      <c r="L461" s="1131">
        <f t="shared" si="1032" ref="L461:M467">L393</f>
        <v>406</v>
      </c>
      <c r="M461" s="419">
        <f t="shared" si="1032"/>
        <v>25</v>
      </c>
      <c r="N461" s="419">
        <f t="shared" si="1033" ref="N461:P467">N393-M393</f>
        <v>149</v>
      </c>
      <c r="O461" s="419">
        <f t="shared" si="1033"/>
        <v>66</v>
      </c>
      <c r="P461" s="419">
        <f t="shared" si="1033"/>
        <v>130</v>
      </c>
      <c r="Q461" s="1131">
        <f t="shared" si="1034" ref="Q461:R467">Q393</f>
        <v>370</v>
      </c>
      <c r="R461" s="419">
        <f t="shared" si="1034"/>
        <v>104</v>
      </c>
      <c r="S461" s="419">
        <f t="shared" si="1035" ref="S461:U467">S393-R393</f>
        <v>63</v>
      </c>
      <c r="T461" s="419">
        <f t="shared" si="1035"/>
        <v>113</v>
      </c>
      <c r="U461" s="419">
        <f t="shared" si="1035"/>
        <v>388</v>
      </c>
      <c r="V461" s="1131">
        <f t="shared" si="1036" ref="V461:W467">V393</f>
        <v>668</v>
      </c>
      <c r="W461" s="419">
        <f t="shared" si="1036"/>
        <v>155</v>
      </c>
      <c r="X461" s="419">
        <f t="shared" si="1037" ref="X461:Z467">X393-W393</f>
        <v>145</v>
      </c>
      <c r="Y461" s="419">
        <f t="shared" si="1037"/>
        <v>11</v>
      </c>
      <c r="Z461" s="419">
        <f t="shared" si="1037"/>
        <v>166</v>
      </c>
      <c r="AA461" s="1131">
        <f t="shared" si="1038" ref="AA461:AB467">AA393</f>
        <v>477</v>
      </c>
      <c r="AB461" s="419">
        <f t="shared" si="1038"/>
        <v>141</v>
      </c>
      <c r="AC461" s="419">
        <f t="shared" si="1039" ref="AC461:AE467">AC393-AB393</f>
        <v>208</v>
      </c>
      <c r="AD461" s="419">
        <f t="shared" si="1039"/>
        <v>203</v>
      </c>
      <c r="AE461" s="419">
        <f t="shared" si="1039"/>
        <v>-35</v>
      </c>
      <c r="AF461" s="1131">
        <f t="shared" si="1040" ref="AF461:AG467">AF393</f>
        <v>517</v>
      </c>
      <c r="AG461" s="419">
        <f t="shared" si="1040"/>
        <v>326</v>
      </c>
      <c r="AH461" s="419">
        <f t="shared" si="1041" ref="AH461:AJ467">AH393-AG393</f>
        <v>209</v>
      </c>
      <c r="AI461" s="419">
        <f t="shared" si="1041"/>
        <v>143</v>
      </c>
      <c r="AJ461" s="419">
        <f t="shared" si="1041"/>
        <v>191</v>
      </c>
      <c r="AK461" s="1131">
        <f t="shared" si="1042" ref="AK461:AL467">AK393</f>
        <v>869</v>
      </c>
      <c r="AL461" s="419">
        <f t="shared" si="1042"/>
        <v>-304</v>
      </c>
      <c r="AM461" s="419">
        <f t="shared" si="1043" ref="AM461:AO467">AM393-AL393</f>
        <v>167</v>
      </c>
      <c r="AN461" s="419">
        <f t="shared" si="1043"/>
        <v>164</v>
      </c>
      <c r="AO461" s="419">
        <f t="shared" si="1043"/>
        <v>694</v>
      </c>
      <c r="AP461" s="1131">
        <f t="shared" si="1044" ref="AP461:AQ467">AP393</f>
        <v>721</v>
      </c>
      <c r="AQ461" s="419">
        <f t="shared" si="1044"/>
        <v>419</v>
      </c>
      <c r="AR461" s="419">
        <f t="shared" si="1045" ref="AR461:AT467">AR393-AQ393</f>
        <v>1002</v>
      </c>
      <c r="AS461" s="419">
        <f t="shared" si="1045"/>
        <v>219</v>
      </c>
      <c r="AT461" s="419">
        <f t="shared" si="1045"/>
        <v>355</v>
      </c>
      <c r="AU461" s="1131">
        <f t="shared" si="1046" ref="AU461:AV467">AU393</f>
        <v>1995</v>
      </c>
      <c r="AV461" s="419">
        <f t="shared" si="1046"/>
        <v>290</v>
      </c>
      <c r="AW461" s="419">
        <f t="shared" si="1047" ref="AW461:AY467">AW393-AV393</f>
        <v>167</v>
      </c>
      <c r="AX461" s="419">
        <f t="shared" si="1047"/>
        <v>165</v>
      </c>
      <c r="AY461" s="419">
        <f t="shared" si="1047"/>
        <v>276</v>
      </c>
      <c r="AZ461" s="1131">
        <f t="shared" si="1048" ref="AZ461:BA467">AZ393</f>
        <v>898</v>
      </c>
      <c r="BA461" s="419">
        <f t="shared" si="1048"/>
        <v>212</v>
      </c>
      <c r="BB461" s="419">
        <f t="shared" si="1049" ref="BB461:BC467">BB393-BA393</f>
        <v>200</v>
      </c>
      <c r="BC461" s="419">
        <f t="shared" si="1049"/>
        <v>177</v>
      </c>
      <c r="BD461" s="419">
        <f t="shared" si="1050" ref="BD461">BD393-BC393</f>
        <v>263</v>
      </c>
      <c r="BE461" s="1131">
        <f t="shared" si="1051" ref="BE461:BF475">BE393</f>
        <v>852</v>
      </c>
      <c r="BF461" s="419">
        <f t="shared" si="1051"/>
        <v>242</v>
      </c>
      <c r="BG461" s="419">
        <f t="shared" si="1052" ref="BG461:BG475">BG393-BF393</f>
        <v>209</v>
      </c>
      <c r="BH461" s="464">
        <f t="shared" si="1053" ref="BH461:BH467">BH393-BG393</f>
        <v>181</v>
      </c>
      <c r="BI461" s="171">
        <f>BI280</f>
        <v>315.50799804918023</v>
      </c>
      <c r="BJ461" s="1133">
        <f t="shared" si="1054" ref="BJ461:BJ467">SUM(BF461,BG461,BH461,BI461)</f>
        <v>947.50799804918029</v>
      </c>
      <c r="BK461" s="171">
        <f>BK280</f>
        <v>293.36198574945206</v>
      </c>
      <c r="BL461" s="171">
        <f>BL280</f>
        <v>259.77245142082188</v>
      </c>
      <c r="BM461" s="171">
        <f>BM280</f>
        <v>279.81663242726023</v>
      </c>
      <c r="BN461" s="171">
        <f>BN280</f>
        <v>337.18148403580813</v>
      </c>
      <c r="BO461" s="1133">
        <f t="shared" si="1055" ref="BO461:BO467">SUM(BK461,BL461,BM461,BN461)</f>
        <v>1170.1325536333422</v>
      </c>
      <c r="BP461" s="1131">
        <f>BP280</f>
        <v>1262.6980643995962</v>
      </c>
      <c r="BQ461" s="1131">
        <f>BQ280</f>
        <v>1564.2660318054973</v>
      </c>
      <c r="BR461" s="1133">
        <f>BR280</f>
        <v>1635.7135375929206</v>
      </c>
      <c r="BS461" s="119"/>
    </row>
    <row r="462" spans="1:71" s="680" customFormat="1" ht="15">
      <c r="A462" s="420" t="str">
        <f t="shared" si="1029"/>
        <v>Deferred income taxes</v>
      </c>
      <c r="B462" s="417"/>
      <c r="C462" s="1131">
        <f t="shared" si="1030"/>
        <v>0</v>
      </c>
      <c r="D462" s="1131">
        <f t="shared" si="1030"/>
        <v>0</v>
      </c>
      <c r="E462" s="1131">
        <f t="shared" si="1030"/>
        <v>0</v>
      </c>
      <c r="F462" s="1131">
        <f t="shared" si="1030"/>
        <v>0</v>
      </c>
      <c r="G462" s="1131">
        <f t="shared" si="1030"/>
        <v>0</v>
      </c>
      <c r="H462" s="419">
        <f t="shared" si="1030"/>
        <v>0</v>
      </c>
      <c r="I462" s="419">
        <f t="shared" si="1031"/>
        <v>0</v>
      </c>
      <c r="J462" s="419">
        <f t="shared" si="1031"/>
        <v>0</v>
      </c>
      <c r="K462" s="419">
        <f t="shared" si="1031"/>
        <v>0</v>
      </c>
      <c r="L462" s="1131">
        <f t="shared" si="1032"/>
        <v>0</v>
      </c>
      <c r="M462" s="419">
        <f t="shared" si="1032"/>
        <v>0</v>
      </c>
      <c r="N462" s="419">
        <f t="shared" si="1033"/>
        <v>0</v>
      </c>
      <c r="O462" s="419">
        <f t="shared" si="1033"/>
        <v>0</v>
      </c>
      <c r="P462" s="419">
        <f t="shared" si="1033"/>
        <v>0</v>
      </c>
      <c r="Q462" s="1131">
        <f t="shared" si="1034"/>
        <v>0</v>
      </c>
      <c r="R462" s="419">
        <f t="shared" si="1034"/>
        <v>0</v>
      </c>
      <c r="S462" s="419">
        <f t="shared" si="1035"/>
        <v>0</v>
      </c>
      <c r="T462" s="419">
        <f t="shared" si="1035"/>
        <v>0</v>
      </c>
      <c r="U462" s="419">
        <f t="shared" si="1035"/>
        <v>0</v>
      </c>
      <c r="V462" s="1131">
        <f t="shared" si="1036"/>
        <v>0</v>
      </c>
      <c r="W462" s="419">
        <f t="shared" si="1036"/>
        <v>0</v>
      </c>
      <c r="X462" s="419">
        <f t="shared" si="1037"/>
        <v>0</v>
      </c>
      <c r="Y462" s="419">
        <f t="shared" si="1037"/>
        <v>0</v>
      </c>
      <c r="Z462" s="419">
        <f t="shared" si="1037"/>
        <v>0</v>
      </c>
      <c r="AA462" s="1131">
        <f t="shared" si="1038"/>
        <v>0</v>
      </c>
      <c r="AB462" s="419">
        <f t="shared" si="1038"/>
        <v>0</v>
      </c>
      <c r="AC462" s="419">
        <f t="shared" si="1039"/>
        <v>0</v>
      </c>
      <c r="AD462" s="419">
        <f t="shared" si="1039"/>
        <v>0</v>
      </c>
      <c r="AE462" s="419">
        <f t="shared" si="1039"/>
        <v>0</v>
      </c>
      <c r="AF462" s="1131">
        <f t="shared" si="1040"/>
        <v>0</v>
      </c>
      <c r="AG462" s="419">
        <f t="shared" si="1040"/>
        <v>0</v>
      </c>
      <c r="AH462" s="419">
        <f t="shared" si="1041"/>
        <v>0</v>
      </c>
      <c r="AI462" s="419">
        <f t="shared" si="1041"/>
        <v>0</v>
      </c>
      <c r="AJ462" s="419">
        <f t="shared" si="1041"/>
        <v>0</v>
      </c>
      <c r="AK462" s="1131">
        <f t="shared" si="1042"/>
        <v>0</v>
      </c>
      <c r="AL462" s="419">
        <f t="shared" si="1042"/>
        <v>0</v>
      </c>
      <c r="AM462" s="419">
        <f t="shared" si="1043"/>
        <v>0</v>
      </c>
      <c r="AN462" s="419">
        <f t="shared" si="1043"/>
        <v>0</v>
      </c>
      <c r="AO462" s="419">
        <f t="shared" si="1043"/>
        <v>0</v>
      </c>
      <c r="AP462" s="1131">
        <f t="shared" si="1044"/>
        <v>0</v>
      </c>
      <c r="AQ462" s="419">
        <f t="shared" si="1044"/>
        <v>0</v>
      </c>
      <c r="AR462" s="419">
        <f t="shared" si="1045"/>
        <v>0</v>
      </c>
      <c r="AS462" s="419">
        <f t="shared" si="1045"/>
        <v>0</v>
      </c>
      <c r="AT462" s="419">
        <f t="shared" si="1045"/>
        <v>0</v>
      </c>
      <c r="AU462" s="1131">
        <f t="shared" si="1046"/>
        <v>0</v>
      </c>
      <c r="AV462" s="419">
        <f t="shared" si="1046"/>
        <v>0</v>
      </c>
      <c r="AW462" s="419">
        <f t="shared" si="1047"/>
        <v>0</v>
      </c>
      <c r="AX462" s="419">
        <f t="shared" si="1047"/>
        <v>0</v>
      </c>
      <c r="AY462" s="419">
        <f t="shared" si="1047"/>
        <v>0</v>
      </c>
      <c r="AZ462" s="1131">
        <f t="shared" si="1048"/>
        <v>0</v>
      </c>
      <c r="BA462" s="419">
        <f t="shared" si="1048"/>
        <v>0</v>
      </c>
      <c r="BB462" s="419">
        <f t="shared" si="1049"/>
        <v>0</v>
      </c>
      <c r="BC462" s="419">
        <f t="shared" si="1049"/>
        <v>0</v>
      </c>
      <c r="BD462" s="419">
        <f t="shared" si="1056" ref="BD462:BD467">BD394-BC394</f>
        <v>0</v>
      </c>
      <c r="BE462" s="1131">
        <f t="shared" si="1051"/>
        <v>0</v>
      </c>
      <c r="BF462" s="419">
        <f t="shared" si="1057" ref="BF462">BF394</f>
        <v>0</v>
      </c>
      <c r="BG462" s="419">
        <f t="shared" si="1052"/>
        <v>0</v>
      </c>
      <c r="BH462" s="464">
        <f t="shared" si="1053"/>
        <v>0</v>
      </c>
      <c r="BI462" s="171">
        <f>BI279</f>
        <v>0</v>
      </c>
      <c r="BJ462" s="1133">
        <f t="shared" si="1054"/>
        <v>0</v>
      </c>
      <c r="BK462" s="171">
        <f>BK279</f>
        <v>0</v>
      </c>
      <c r="BL462" s="171">
        <f>BL279</f>
        <v>0</v>
      </c>
      <c r="BM462" s="171">
        <f>BM279</f>
        <v>0</v>
      </c>
      <c r="BN462" s="171">
        <f>BN279</f>
        <v>0</v>
      </c>
      <c r="BO462" s="1133">
        <f t="shared" si="1055"/>
        <v>0</v>
      </c>
      <c r="BP462" s="1131">
        <f>BP279</f>
        <v>0</v>
      </c>
      <c r="BQ462" s="1131">
        <f>BQ279</f>
        <v>0</v>
      </c>
      <c r="BR462" s="1133">
        <f>BR279</f>
        <v>0</v>
      </c>
      <c r="BS462" s="119"/>
    </row>
    <row r="463" spans="1:71" s="680" customFormat="1" ht="15">
      <c r="A463" s="420" t="str">
        <f t="shared" si="1029"/>
        <v>Depreciation and amortization</v>
      </c>
      <c r="B463" s="417"/>
      <c r="C463" s="1131">
        <f t="shared" si="1030"/>
        <v>198</v>
      </c>
      <c r="D463" s="1131">
        <f t="shared" si="1030"/>
        <v>214</v>
      </c>
      <c r="E463" s="1131">
        <f t="shared" si="1030"/>
        <v>180</v>
      </c>
      <c r="F463" s="1131">
        <f t="shared" si="1030"/>
        <v>257</v>
      </c>
      <c r="G463" s="1131">
        <f t="shared" si="1030"/>
        <v>142</v>
      </c>
      <c r="H463" s="419">
        <f t="shared" si="1030"/>
        <v>27</v>
      </c>
      <c r="I463" s="419">
        <f t="shared" si="1031"/>
        <v>30</v>
      </c>
      <c r="J463" s="419">
        <f t="shared" si="1031"/>
        <v>38</v>
      </c>
      <c r="K463" s="419">
        <f t="shared" si="1031"/>
        <v>49</v>
      </c>
      <c r="L463" s="1131">
        <f t="shared" si="1032"/>
        <v>144</v>
      </c>
      <c r="M463" s="419">
        <f t="shared" si="1032"/>
        <v>31</v>
      </c>
      <c r="N463" s="419">
        <f t="shared" si="1033"/>
        <v>53</v>
      </c>
      <c r="O463" s="419">
        <f t="shared" si="1033"/>
        <v>34</v>
      </c>
      <c r="P463" s="419">
        <f t="shared" si="1033"/>
        <v>16</v>
      </c>
      <c r="Q463" s="1131">
        <f t="shared" si="1034"/>
        <v>134</v>
      </c>
      <c r="R463" s="419">
        <f t="shared" si="1034"/>
        <v>28</v>
      </c>
      <c r="S463" s="419">
        <f t="shared" si="1035"/>
        <v>25</v>
      </c>
      <c r="T463" s="419">
        <f t="shared" si="1035"/>
        <v>38</v>
      </c>
      <c r="U463" s="419">
        <f t="shared" si="1035"/>
        <v>43</v>
      </c>
      <c r="V463" s="1131">
        <f t="shared" si="1036"/>
        <v>134</v>
      </c>
      <c r="W463" s="419">
        <f t="shared" si="1036"/>
        <v>38</v>
      </c>
      <c r="X463" s="419">
        <f t="shared" si="1037"/>
        <v>31</v>
      </c>
      <c r="Y463" s="419">
        <f t="shared" si="1037"/>
        <v>36</v>
      </c>
      <c r="Z463" s="419">
        <f t="shared" si="1037"/>
        <v>2</v>
      </c>
      <c r="AA463" s="1131">
        <f t="shared" si="1038"/>
        <v>107</v>
      </c>
      <c r="AB463" s="419">
        <f t="shared" si="1038"/>
        <v>71</v>
      </c>
      <c r="AC463" s="419">
        <f t="shared" si="1039"/>
        <v>35</v>
      </c>
      <c r="AD463" s="419">
        <f t="shared" si="1039"/>
        <v>57</v>
      </c>
      <c r="AE463" s="419">
        <f t="shared" si="1039"/>
        <v>47</v>
      </c>
      <c r="AF463" s="1131">
        <f t="shared" si="1040"/>
        <v>210</v>
      </c>
      <c r="AG463" s="419">
        <f t="shared" si="1040"/>
        <v>34</v>
      </c>
      <c r="AH463" s="419">
        <f t="shared" si="1041"/>
        <v>38</v>
      </c>
      <c r="AI463" s="419">
        <f t="shared" si="1041"/>
        <v>123</v>
      </c>
      <c r="AJ463" s="419">
        <f t="shared" si="1041"/>
        <v>64</v>
      </c>
      <c r="AK463" s="1131">
        <f t="shared" si="1042"/>
        <v>259</v>
      </c>
      <c r="AL463" s="419">
        <f t="shared" si="1042"/>
        <v>113</v>
      </c>
      <c r="AM463" s="419">
        <f t="shared" si="1043"/>
        <v>-34</v>
      </c>
      <c r="AN463" s="419">
        <f t="shared" si="1043"/>
        <v>169</v>
      </c>
      <c r="AO463" s="419">
        <f t="shared" si="1043"/>
        <v>51</v>
      </c>
      <c r="AP463" s="1131">
        <f t="shared" si="1044"/>
        <v>299</v>
      </c>
      <c r="AQ463" s="419">
        <f t="shared" si="1044"/>
        <v>99</v>
      </c>
      <c r="AR463" s="419">
        <f t="shared" si="1045"/>
        <v>34</v>
      </c>
      <c r="AS463" s="419">
        <f t="shared" si="1045"/>
        <v>27</v>
      </c>
      <c r="AT463" s="419">
        <f t="shared" si="1045"/>
        <v>27</v>
      </c>
      <c r="AU463" s="1131">
        <f t="shared" si="1046"/>
        <v>187</v>
      </c>
      <c r="AV463" s="419">
        <f t="shared" si="1046"/>
        <v>26</v>
      </c>
      <c r="AW463" s="419">
        <f t="shared" si="1047"/>
        <v>27</v>
      </c>
      <c r="AX463" s="419">
        <f t="shared" si="1047"/>
        <v>25</v>
      </c>
      <c r="AY463" s="419">
        <f t="shared" si="1047"/>
        <v>22</v>
      </c>
      <c r="AZ463" s="1131">
        <f t="shared" si="1048"/>
        <v>100</v>
      </c>
      <c r="BA463" s="419">
        <f t="shared" si="1048"/>
        <v>20</v>
      </c>
      <c r="BB463" s="419">
        <f t="shared" si="1049"/>
        <v>19</v>
      </c>
      <c r="BC463" s="419">
        <f t="shared" si="1049"/>
        <v>21</v>
      </c>
      <c r="BD463" s="419">
        <f t="shared" si="1056"/>
        <v>18</v>
      </c>
      <c r="BE463" s="1131">
        <f t="shared" si="1051"/>
        <v>78</v>
      </c>
      <c r="BF463" s="419">
        <f t="shared" si="1058" ref="BF463">BF395</f>
        <v>20</v>
      </c>
      <c r="BG463" s="419">
        <f t="shared" si="1052"/>
        <v>19</v>
      </c>
      <c r="BH463" s="464">
        <f t="shared" si="1053"/>
        <v>21</v>
      </c>
      <c r="BI463" s="171"/>
      <c r="BJ463" s="1133">
        <f t="shared" si="1054"/>
        <v>60</v>
      </c>
      <c r="BK463" s="171"/>
      <c r="BL463" s="171"/>
      <c r="BM463" s="171"/>
      <c r="BN463" s="171"/>
      <c r="BO463" s="1133">
        <f t="shared" si="1055"/>
        <v>0</v>
      </c>
      <c r="BP463" s="1131"/>
      <c r="BQ463" s="1131"/>
      <c r="BR463" s="1133"/>
      <c r="BS463" s="119"/>
    </row>
    <row r="464" spans="1:71" s="680" customFormat="1" ht="15">
      <c r="A464" s="420" t="str">
        <f t="shared" si="1029"/>
        <v>Annuity benefits</v>
      </c>
      <c r="B464" s="417"/>
      <c r="C464" s="1131">
        <f t="shared" si="1030"/>
        <v>435</v>
      </c>
      <c r="D464" s="1131">
        <f t="shared" si="1030"/>
        <v>444</v>
      </c>
      <c r="E464" s="1131">
        <f t="shared" si="1030"/>
        <v>510</v>
      </c>
      <c r="F464" s="1131">
        <f t="shared" si="1030"/>
        <v>541</v>
      </c>
      <c r="G464" s="1131">
        <f t="shared" si="1030"/>
        <v>531</v>
      </c>
      <c r="H464" s="419">
        <f t="shared" si="1030"/>
        <v>168</v>
      </c>
      <c r="I464" s="419">
        <f t="shared" si="1031"/>
        <v>166</v>
      </c>
      <c r="J464" s="419">
        <f t="shared" si="1031"/>
        <v>157</v>
      </c>
      <c r="K464" s="419">
        <f t="shared" si="1031"/>
        <v>157</v>
      </c>
      <c r="L464" s="1131">
        <f t="shared" si="1032"/>
        <v>648</v>
      </c>
      <c r="M464" s="419">
        <f t="shared" si="1032"/>
        <v>184</v>
      </c>
      <c r="N464" s="419">
        <f t="shared" si="1033"/>
        <v>151</v>
      </c>
      <c r="O464" s="419">
        <f t="shared" si="1033"/>
        <v>208</v>
      </c>
      <c r="P464" s="419">
        <f t="shared" si="1033"/>
        <v>189</v>
      </c>
      <c r="Q464" s="1131">
        <f t="shared" si="1034"/>
        <v>732</v>
      </c>
      <c r="R464" s="419">
        <f t="shared" si="1034"/>
        <v>228</v>
      </c>
      <c r="S464" s="419">
        <f t="shared" si="1035"/>
        <v>223</v>
      </c>
      <c r="T464" s="419">
        <f t="shared" si="1035"/>
        <v>189</v>
      </c>
      <c r="U464" s="419">
        <f t="shared" si="1035"/>
        <v>160</v>
      </c>
      <c r="V464" s="1131">
        <f t="shared" si="1036"/>
        <v>800</v>
      </c>
      <c r="W464" s="419">
        <f t="shared" si="1036"/>
        <v>196</v>
      </c>
      <c r="X464" s="419">
        <f t="shared" si="1037"/>
        <v>224</v>
      </c>
      <c r="Y464" s="419">
        <f t="shared" si="1037"/>
        <v>215</v>
      </c>
      <c r="Z464" s="419">
        <f t="shared" si="1037"/>
        <v>257</v>
      </c>
      <c r="AA464" s="1131">
        <f t="shared" si="1038"/>
        <v>892</v>
      </c>
      <c r="AB464" s="419">
        <f t="shared" si="1038"/>
        <v>182</v>
      </c>
      <c r="AC464" s="419">
        <f t="shared" si="1039"/>
        <v>260</v>
      </c>
      <c r="AD464" s="419">
        <f t="shared" si="1039"/>
        <v>222</v>
      </c>
      <c r="AE464" s="419">
        <f t="shared" si="1039"/>
        <v>334</v>
      </c>
      <c r="AF464" s="1131">
        <f t="shared" si="1040"/>
        <v>998</v>
      </c>
      <c r="AG464" s="419">
        <f t="shared" si="1040"/>
        <v>311</v>
      </c>
      <c r="AH464" s="419">
        <f t="shared" si="1041"/>
        <v>339</v>
      </c>
      <c r="AI464" s="419">
        <f t="shared" si="1041"/>
        <v>250</v>
      </c>
      <c r="AJ464" s="419">
        <f t="shared" si="1041"/>
        <v>251</v>
      </c>
      <c r="AK464" s="1131">
        <f t="shared" si="1042"/>
        <v>1151</v>
      </c>
      <c r="AL464" s="419">
        <f t="shared" si="1042"/>
        <v>276</v>
      </c>
      <c r="AM464" s="419">
        <f t="shared" si="1043"/>
        <v>426</v>
      </c>
      <c r="AN464" s="419">
        <f t="shared" si="1043"/>
        <v>203</v>
      </c>
      <c r="AO464" s="419">
        <f t="shared" si="1043"/>
        <v>287</v>
      </c>
      <c r="AP464" s="1131">
        <f t="shared" si="1044"/>
        <v>1192</v>
      </c>
      <c r="AQ464" s="419">
        <f t="shared" si="1044"/>
        <v>161</v>
      </c>
      <c r="AR464" s="419">
        <f t="shared" si="1045"/>
        <v>216</v>
      </c>
      <c r="AS464" s="419">
        <f t="shared" si="1045"/>
        <v>0</v>
      </c>
      <c r="AT464" s="419">
        <f t="shared" si="1045"/>
        <v>0</v>
      </c>
      <c r="AU464" s="1131">
        <f t="shared" si="1046"/>
        <v>377</v>
      </c>
      <c r="AV464" s="419">
        <f t="shared" si="1046"/>
        <v>0</v>
      </c>
      <c r="AW464" s="419">
        <f t="shared" si="1047"/>
        <v>0</v>
      </c>
      <c r="AX464" s="419">
        <f t="shared" si="1047"/>
        <v>0</v>
      </c>
      <c r="AY464" s="419">
        <f t="shared" si="1047"/>
        <v>0</v>
      </c>
      <c r="AZ464" s="1131">
        <f t="shared" si="1048"/>
        <v>0</v>
      </c>
      <c r="BA464" s="419">
        <f t="shared" si="1048"/>
        <v>0</v>
      </c>
      <c r="BB464" s="419">
        <f t="shared" si="1049"/>
        <v>0</v>
      </c>
      <c r="BC464" s="419">
        <f t="shared" si="1049"/>
        <v>0</v>
      </c>
      <c r="BD464" s="419">
        <f t="shared" si="1056"/>
        <v>0</v>
      </c>
      <c r="BE464" s="1131">
        <f t="shared" si="1051"/>
        <v>0</v>
      </c>
      <c r="BF464" s="419">
        <f t="shared" si="1059" ref="BF464">BF396</f>
        <v>0</v>
      </c>
      <c r="BG464" s="419">
        <f t="shared" si="1052"/>
        <v>0</v>
      </c>
      <c r="BH464" s="464">
        <f t="shared" si="1053"/>
        <v>0</v>
      </c>
      <c r="BI464" s="171"/>
      <c r="BJ464" s="1133">
        <f t="shared" si="1054"/>
        <v>0</v>
      </c>
      <c r="BK464" s="171"/>
      <c r="BL464" s="171"/>
      <c r="BM464" s="171"/>
      <c r="BN464" s="171"/>
      <c r="BO464" s="1133">
        <f t="shared" si="1055"/>
        <v>0</v>
      </c>
      <c r="BP464" s="1131"/>
      <c r="BQ464" s="1131"/>
      <c r="BR464" s="1133"/>
      <c r="BS464" s="119"/>
    </row>
    <row r="465" spans="1:71" s="680" customFormat="1" ht="15">
      <c r="A465" s="420" t="str">
        <f t="shared" si="1029"/>
        <v>Realized (gains) losses on investing activities</v>
      </c>
      <c r="B465" s="417"/>
      <c r="C465" s="1131">
        <f t="shared" si="1030"/>
        <v>-34</v>
      </c>
      <c r="D465" s="1131">
        <f t="shared" si="1030"/>
        <v>-92</v>
      </c>
      <c r="E465" s="1131">
        <f t="shared" si="1030"/>
        <v>-74</v>
      </c>
      <c r="F465" s="1131">
        <f t="shared" si="1030"/>
        <v>-367</v>
      </c>
      <c r="G465" s="1131">
        <f t="shared" si="1030"/>
        <v>-230</v>
      </c>
      <c r="H465" s="419">
        <f t="shared" si="1030"/>
        <v>-19</v>
      </c>
      <c r="I465" s="419">
        <f t="shared" si="1031"/>
        <v>-13</v>
      </c>
      <c r="J465" s="419">
        <f t="shared" si="1031"/>
        <v>-16</v>
      </c>
      <c r="K465" s="419">
        <f t="shared" si="1031"/>
        <v>-10</v>
      </c>
      <c r="L465" s="1131">
        <f t="shared" si="1032"/>
        <v>-58</v>
      </c>
      <c r="M465" s="419">
        <f t="shared" si="1032"/>
        <v>133</v>
      </c>
      <c r="N465" s="419">
        <f t="shared" si="1033"/>
        <v>-52</v>
      </c>
      <c r="O465" s="419">
        <f t="shared" si="1033"/>
        <v>9</v>
      </c>
      <c r="P465" s="419">
        <f t="shared" si="1033"/>
        <v>10</v>
      </c>
      <c r="Q465" s="1131">
        <f t="shared" si="1034"/>
        <v>100</v>
      </c>
      <c r="R465" s="419">
        <f t="shared" si="1034"/>
        <v>15</v>
      </c>
      <c r="S465" s="419">
        <f t="shared" si="1035"/>
        <v>-18</v>
      </c>
      <c r="T465" s="419">
        <f t="shared" si="1035"/>
        <v>-3</v>
      </c>
      <c r="U465" s="419">
        <f t="shared" si="1035"/>
        <v>-55</v>
      </c>
      <c r="V465" s="1131">
        <f t="shared" si="1036"/>
        <v>-61</v>
      </c>
      <c r="W465" s="419">
        <f t="shared" si="1036"/>
        <v>-17</v>
      </c>
      <c r="X465" s="419">
        <f t="shared" si="1037"/>
        <v>-11</v>
      </c>
      <c r="Y465" s="419">
        <f t="shared" si="1037"/>
        <v>10</v>
      </c>
      <c r="Z465" s="419">
        <f t="shared" si="1037"/>
        <v>-5</v>
      </c>
      <c r="AA465" s="1131">
        <f t="shared" si="1038"/>
        <v>-23</v>
      </c>
      <c r="AB465" s="419">
        <f t="shared" si="1038"/>
        <v>93</v>
      </c>
      <c r="AC465" s="419">
        <f t="shared" si="1039"/>
        <v>-29</v>
      </c>
      <c r="AD465" s="419">
        <f t="shared" si="1039"/>
        <v>-36</v>
      </c>
      <c r="AE465" s="419">
        <f t="shared" si="1039"/>
        <v>237</v>
      </c>
      <c r="AF465" s="1131">
        <f t="shared" si="1040"/>
        <v>265</v>
      </c>
      <c r="AG465" s="419">
        <f t="shared" si="1040"/>
        <v>-184</v>
      </c>
      <c r="AH465" s="419">
        <f t="shared" si="1041"/>
        <v>-57</v>
      </c>
      <c r="AI465" s="419">
        <f t="shared" si="1041"/>
        <v>18</v>
      </c>
      <c r="AJ465" s="419">
        <f t="shared" si="1041"/>
        <v>-65</v>
      </c>
      <c r="AK465" s="1131">
        <f t="shared" si="1042"/>
        <v>-288</v>
      </c>
      <c r="AL465" s="419">
        <f t="shared" si="1042"/>
        <v>550</v>
      </c>
      <c r="AM465" s="419">
        <f t="shared" si="1043"/>
        <v>-204</v>
      </c>
      <c r="AN465" s="419">
        <f t="shared" si="1043"/>
        <v>-14</v>
      </c>
      <c r="AO465" s="419">
        <f t="shared" si="1043"/>
        <v>-645</v>
      </c>
      <c r="AP465" s="1131">
        <f t="shared" si="1044"/>
        <v>-313</v>
      </c>
      <c r="AQ465" s="419">
        <f t="shared" si="1044"/>
        <v>-158</v>
      </c>
      <c r="AR465" s="419">
        <f t="shared" si="1045"/>
        <v>-983</v>
      </c>
      <c r="AS465" s="419">
        <f t="shared" si="1045"/>
        <v>30</v>
      </c>
      <c r="AT465" s="419">
        <f t="shared" si="1045"/>
        <v>-20</v>
      </c>
      <c r="AU465" s="1131">
        <f t="shared" si="1046"/>
        <v>-1131</v>
      </c>
      <c r="AV465" s="419">
        <f t="shared" si="1046"/>
        <v>15</v>
      </c>
      <c r="AW465" s="419">
        <f t="shared" si="1047"/>
        <v>90</v>
      </c>
      <c r="AX465" s="419">
        <f t="shared" si="1047"/>
        <v>31</v>
      </c>
      <c r="AY465" s="419">
        <f t="shared" si="1047"/>
        <v>-26</v>
      </c>
      <c r="AZ465" s="1131">
        <f t="shared" si="1048"/>
        <v>110</v>
      </c>
      <c r="BA465" s="419">
        <f t="shared" si="1048"/>
        <v>45</v>
      </c>
      <c r="BB465" s="419">
        <f t="shared" si="1049"/>
        <v>1</v>
      </c>
      <c r="BC465" s="419">
        <f t="shared" si="1049"/>
        <v>23</v>
      </c>
      <c r="BD465" s="419">
        <f t="shared" si="1056"/>
        <v>-31</v>
      </c>
      <c r="BE465" s="1131">
        <f t="shared" si="1051"/>
        <v>38</v>
      </c>
      <c r="BF465" s="419">
        <f t="shared" si="1060" ref="BF465">BF397</f>
        <v>-14</v>
      </c>
      <c r="BG465" s="419">
        <f t="shared" si="1052"/>
        <v>2</v>
      </c>
      <c r="BH465" s="464">
        <f t="shared" si="1053"/>
        <v>2</v>
      </c>
      <c r="BI465" s="171"/>
      <c r="BJ465" s="1133">
        <f t="shared" si="1054"/>
        <v>-10</v>
      </c>
      <c r="BK465" s="171"/>
      <c r="BL465" s="171"/>
      <c r="BM465" s="171"/>
      <c r="BN465" s="171"/>
      <c r="BO465" s="1133">
        <f t="shared" si="1055"/>
        <v>0</v>
      </c>
      <c r="BP465" s="1131"/>
      <c r="BQ465" s="1131"/>
      <c r="BR465" s="1133"/>
      <c r="BS465" s="119"/>
    </row>
    <row r="466" spans="1:71" s="680" customFormat="1" ht="15">
      <c r="A466" s="420" t="str">
        <f t="shared" si="1029"/>
        <v>Net sales of trading securities</v>
      </c>
      <c r="B466" s="417"/>
      <c r="C466" s="1131">
        <f t="shared" si="1030"/>
        <v>-51</v>
      </c>
      <c r="D466" s="1131">
        <f t="shared" si="1030"/>
        <v>-11</v>
      </c>
      <c r="E466" s="1131">
        <f t="shared" si="1030"/>
        <v>-45</v>
      </c>
      <c r="F466" s="1131">
        <f t="shared" si="1030"/>
        <v>17</v>
      </c>
      <c r="G466" s="1131">
        <f t="shared" si="1030"/>
        <v>2</v>
      </c>
      <c r="H466" s="419">
        <f t="shared" si="1030"/>
        <v>6</v>
      </c>
      <c r="I466" s="419">
        <f t="shared" si="1031"/>
        <v>-39</v>
      </c>
      <c r="J466" s="419">
        <f t="shared" si="1031"/>
        <v>-6</v>
      </c>
      <c r="K466" s="419">
        <f t="shared" si="1031"/>
        <v>-70</v>
      </c>
      <c r="L466" s="1131">
        <f t="shared" si="1032"/>
        <v>-109</v>
      </c>
      <c r="M466" s="419">
        <f t="shared" si="1032"/>
        <v>-4</v>
      </c>
      <c r="N466" s="419">
        <f t="shared" si="1033"/>
        <v>-1</v>
      </c>
      <c r="O466" s="419">
        <f t="shared" si="1033"/>
        <v>-4</v>
      </c>
      <c r="P466" s="419">
        <f t="shared" si="1033"/>
        <v>19</v>
      </c>
      <c r="Q466" s="1131">
        <f t="shared" si="1034"/>
        <v>10</v>
      </c>
      <c r="R466" s="419">
        <f t="shared" si="1034"/>
        <v>71</v>
      </c>
      <c r="S466" s="419">
        <f t="shared" si="1035"/>
        <v>14</v>
      </c>
      <c r="T466" s="419">
        <f t="shared" si="1035"/>
        <v>-12</v>
      </c>
      <c r="U466" s="419">
        <f t="shared" si="1035"/>
        <v>6</v>
      </c>
      <c r="V466" s="1131">
        <f t="shared" si="1036"/>
        <v>79</v>
      </c>
      <c r="W466" s="419">
        <f t="shared" si="1036"/>
        <v>3</v>
      </c>
      <c r="X466" s="419">
        <f t="shared" si="1037"/>
        <v>28</v>
      </c>
      <c r="Y466" s="419">
        <f t="shared" si="1037"/>
        <v>-26</v>
      </c>
      <c r="Z466" s="419">
        <f t="shared" si="1037"/>
        <v>12</v>
      </c>
      <c r="AA466" s="1131">
        <f t="shared" si="1038"/>
        <v>17</v>
      </c>
      <c r="AB466" s="419">
        <f t="shared" si="1038"/>
        <v>61</v>
      </c>
      <c r="AC466" s="419">
        <f t="shared" si="1039"/>
        <v>22</v>
      </c>
      <c r="AD466" s="419">
        <f t="shared" si="1039"/>
        <v>33</v>
      </c>
      <c r="AE466" s="419">
        <f t="shared" si="1039"/>
        <v>-5</v>
      </c>
      <c r="AF466" s="1131">
        <f t="shared" si="1040"/>
        <v>111</v>
      </c>
      <c r="AG466" s="419">
        <f t="shared" si="1040"/>
        <v>1</v>
      </c>
      <c r="AH466" s="419">
        <f t="shared" si="1041"/>
        <v>-1</v>
      </c>
      <c r="AI466" s="419">
        <f t="shared" si="1041"/>
        <v>-2</v>
      </c>
      <c r="AJ466" s="419">
        <f t="shared" si="1041"/>
        <v>-3</v>
      </c>
      <c r="AK466" s="1131">
        <f t="shared" si="1042"/>
        <v>-5</v>
      </c>
      <c r="AL466" s="419">
        <f t="shared" si="1042"/>
        <v>8</v>
      </c>
      <c r="AM466" s="419">
        <f t="shared" si="1043"/>
        <v>3</v>
      </c>
      <c r="AN466" s="419">
        <f t="shared" si="1043"/>
        <v>7</v>
      </c>
      <c r="AO466" s="419">
        <f t="shared" si="1043"/>
        <v>2</v>
      </c>
      <c r="AP466" s="1131">
        <f t="shared" si="1044"/>
        <v>20</v>
      </c>
      <c r="AQ466" s="419">
        <f t="shared" si="1044"/>
        <v>-3</v>
      </c>
      <c r="AR466" s="419">
        <f t="shared" si="1045"/>
        <v>2</v>
      </c>
      <c r="AS466" s="419">
        <f t="shared" si="1045"/>
        <v>-5</v>
      </c>
      <c r="AT466" s="419">
        <f t="shared" si="1045"/>
        <v>1</v>
      </c>
      <c r="AU466" s="1131">
        <f t="shared" si="1046"/>
        <v>-5</v>
      </c>
      <c r="AV466" s="419">
        <f t="shared" si="1046"/>
        <v>-1</v>
      </c>
      <c r="AW466" s="419">
        <f t="shared" si="1047"/>
        <v>1</v>
      </c>
      <c r="AX466" s="419">
        <f t="shared" si="1047"/>
        <v>-2</v>
      </c>
      <c r="AY466" s="419">
        <f t="shared" si="1047"/>
        <v>0</v>
      </c>
      <c r="AZ466" s="1131">
        <f t="shared" si="1048"/>
        <v>-2</v>
      </c>
      <c r="BA466" s="419">
        <f t="shared" si="1048"/>
        <v>-3</v>
      </c>
      <c r="BB466" s="419">
        <f t="shared" si="1049"/>
        <v>1</v>
      </c>
      <c r="BC466" s="419">
        <f t="shared" si="1049"/>
        <v>-1</v>
      </c>
      <c r="BD466" s="419">
        <f t="shared" si="1056"/>
        <v>-2</v>
      </c>
      <c r="BE466" s="1131">
        <f t="shared" si="1051"/>
        <v>-5</v>
      </c>
      <c r="BF466" s="419">
        <f t="shared" si="1061" ref="BF466">BF398</f>
        <v>0</v>
      </c>
      <c r="BG466" s="419">
        <f t="shared" si="1052"/>
        <v>-12</v>
      </c>
      <c r="BH466" s="464">
        <f t="shared" si="1053"/>
        <v>-13</v>
      </c>
      <c r="BI466" s="171"/>
      <c r="BJ466" s="1133">
        <f t="shared" si="1054"/>
        <v>-25</v>
      </c>
      <c r="BK466" s="171"/>
      <c r="BL466" s="171"/>
      <c r="BM466" s="171"/>
      <c r="BN466" s="171"/>
      <c r="BO466" s="1133">
        <f t="shared" si="1055"/>
        <v>0</v>
      </c>
      <c r="BP466" s="1131"/>
      <c r="BQ466" s="1131"/>
      <c r="BR466" s="1133"/>
      <c r="BS466" s="119"/>
    </row>
    <row r="467" spans="1:71" s="680" customFormat="1" ht="15">
      <c r="A467" s="598" t="str">
        <f t="shared" si="1029"/>
        <v>Deferred annuity and life policy acquisition costs</v>
      </c>
      <c r="B467" s="511"/>
      <c r="C467" s="1134">
        <f t="shared" si="1030"/>
        <v>-172</v>
      </c>
      <c r="D467" s="1134">
        <f t="shared" si="1030"/>
        <v>-211</v>
      </c>
      <c r="E467" s="1134">
        <f t="shared" si="1030"/>
        <v>-239</v>
      </c>
      <c r="F467" s="1134">
        <f t="shared" si="1030"/>
        <v>-212</v>
      </c>
      <c r="G467" s="1134">
        <f t="shared" si="1030"/>
        <v>-222</v>
      </c>
      <c r="H467" s="363">
        <f t="shared" si="1030"/>
        <v>-50</v>
      </c>
      <c r="I467" s="363">
        <f t="shared" si="1031"/>
        <v>-52</v>
      </c>
      <c r="J467" s="363">
        <f t="shared" si="1031"/>
        <v>-42</v>
      </c>
      <c r="K467" s="363">
        <f t="shared" si="1031"/>
        <v>-54</v>
      </c>
      <c r="L467" s="1134">
        <f t="shared" si="1032"/>
        <v>-198</v>
      </c>
      <c r="M467" s="363">
        <f t="shared" si="1032"/>
        <v>-44</v>
      </c>
      <c r="N467" s="363">
        <f t="shared" si="1033"/>
        <v>-46</v>
      </c>
      <c r="O467" s="363">
        <f t="shared" si="1033"/>
        <v>-74</v>
      </c>
      <c r="P467" s="363">
        <f t="shared" si="1033"/>
        <v>-60</v>
      </c>
      <c r="Q467" s="1134">
        <f t="shared" si="1034"/>
        <v>-224</v>
      </c>
      <c r="R467" s="363">
        <f t="shared" si="1034"/>
        <v>-68</v>
      </c>
      <c r="S467" s="363">
        <f t="shared" si="1035"/>
        <v>-56</v>
      </c>
      <c r="T467" s="363">
        <f t="shared" si="1035"/>
        <v>-48</v>
      </c>
      <c r="U467" s="363">
        <f t="shared" si="1035"/>
        <v>-58</v>
      </c>
      <c r="V467" s="1134">
        <f t="shared" si="1036"/>
        <v>-230</v>
      </c>
      <c r="W467" s="363">
        <f t="shared" si="1036"/>
        <v>-67</v>
      </c>
      <c r="X467" s="363">
        <f t="shared" si="1037"/>
        <v>-66</v>
      </c>
      <c r="Y467" s="363">
        <f t="shared" si="1037"/>
        <v>-44</v>
      </c>
      <c r="Z467" s="363">
        <f t="shared" si="1037"/>
        <v>-48</v>
      </c>
      <c r="AA467" s="1134">
        <f t="shared" si="1038"/>
        <v>-225</v>
      </c>
      <c r="AB467" s="363">
        <f t="shared" si="1038"/>
        <v>-57</v>
      </c>
      <c r="AC467" s="363">
        <f t="shared" si="1039"/>
        <v>-70</v>
      </c>
      <c r="AD467" s="363">
        <f t="shared" si="1039"/>
        <v>-65</v>
      </c>
      <c r="AE467" s="363">
        <f t="shared" si="1039"/>
        <v>-71</v>
      </c>
      <c r="AF467" s="1134">
        <f t="shared" si="1040"/>
        <v>-263</v>
      </c>
      <c r="AG467" s="363">
        <f t="shared" si="1040"/>
        <v>-64</v>
      </c>
      <c r="AH467" s="363">
        <f t="shared" si="1041"/>
        <v>-56</v>
      </c>
      <c r="AI467" s="363">
        <f t="shared" si="1041"/>
        <v>-43</v>
      </c>
      <c r="AJ467" s="363">
        <f t="shared" si="1041"/>
        <v>-43</v>
      </c>
      <c r="AK467" s="1134">
        <f t="shared" si="1042"/>
        <v>-206</v>
      </c>
      <c r="AL467" s="363">
        <f t="shared" si="1042"/>
        <v>-49</v>
      </c>
      <c r="AM467" s="363">
        <f t="shared" si="1043"/>
        <v>-30</v>
      </c>
      <c r="AN467" s="363">
        <f t="shared" si="1043"/>
        <v>-33</v>
      </c>
      <c r="AO467" s="363">
        <f t="shared" si="1043"/>
        <v>-42</v>
      </c>
      <c r="AP467" s="1134">
        <f t="shared" si="1044"/>
        <v>-154</v>
      </c>
      <c r="AQ467" s="363">
        <f t="shared" si="1044"/>
        <v>-49</v>
      </c>
      <c r="AR467" s="363">
        <f t="shared" si="1045"/>
        <v>-49</v>
      </c>
      <c r="AS467" s="363">
        <f t="shared" si="1045"/>
        <v>0</v>
      </c>
      <c r="AT467" s="363">
        <f t="shared" si="1045"/>
        <v>0</v>
      </c>
      <c r="AU467" s="1134">
        <f t="shared" si="1046"/>
        <v>-98</v>
      </c>
      <c r="AV467" s="363">
        <f t="shared" si="1046"/>
        <v>0</v>
      </c>
      <c r="AW467" s="363">
        <f t="shared" si="1047"/>
        <v>0</v>
      </c>
      <c r="AX467" s="363">
        <f t="shared" si="1047"/>
        <v>0</v>
      </c>
      <c r="AY467" s="363">
        <f t="shared" si="1047"/>
        <v>0</v>
      </c>
      <c r="AZ467" s="1134">
        <f t="shared" si="1048"/>
        <v>0</v>
      </c>
      <c r="BA467" s="363">
        <f t="shared" si="1048"/>
        <v>0</v>
      </c>
      <c r="BB467" s="363">
        <f t="shared" si="1049"/>
        <v>0</v>
      </c>
      <c r="BC467" s="363">
        <f t="shared" si="1049"/>
        <v>0</v>
      </c>
      <c r="BD467" s="363">
        <f t="shared" si="1056"/>
        <v>0</v>
      </c>
      <c r="BE467" s="1134">
        <f t="shared" si="1051"/>
        <v>0</v>
      </c>
      <c r="BF467" s="363">
        <f t="shared" si="1062" ref="BF467">BF399</f>
        <v>0</v>
      </c>
      <c r="BG467" s="363">
        <f t="shared" si="1052"/>
        <v>0</v>
      </c>
      <c r="BH467" s="773">
        <f t="shared" si="1053"/>
        <v>0</v>
      </c>
      <c r="BI467" s="363"/>
      <c r="BJ467" s="1134">
        <f t="shared" si="1054"/>
        <v>0</v>
      </c>
      <c r="BK467" s="363"/>
      <c r="BL467" s="363"/>
      <c r="BM467" s="363"/>
      <c r="BN467" s="363"/>
      <c r="BO467" s="1134">
        <f t="shared" si="1055"/>
        <v>0</v>
      </c>
      <c r="BP467" s="1134"/>
      <c r="BQ467" s="1134"/>
      <c r="BR467" s="1134"/>
      <c r="BS467" s="119"/>
    </row>
    <row r="468" spans="1:71" s="681" customFormat="1" ht="15">
      <c r="A468" s="607" t="str">
        <f t="shared" si="1029"/>
        <v>CFO before WC</v>
      </c>
      <c r="B468" s="516"/>
      <c r="C468" s="1139">
        <f t="shared" si="1063" ref="C468:AK468">SUM(C461:C467)</f>
        <v>906</v>
      </c>
      <c r="D468" s="1139">
        <f t="shared" si="1063"/>
        <v>767</v>
      </c>
      <c r="E468" s="1139">
        <f t="shared" si="1063"/>
        <v>651</v>
      </c>
      <c r="F468" s="1139">
        <f t="shared" si="1063"/>
        <v>638</v>
      </c>
      <c r="G468" s="1139">
        <f t="shared" si="1063"/>
        <v>676</v>
      </c>
      <c r="H468" s="596">
        <f t="shared" si="1063"/>
        <v>239</v>
      </c>
      <c r="I468" s="596">
        <f t="shared" si="1063"/>
        <v>175</v>
      </c>
      <c r="J468" s="596">
        <f t="shared" si="1063"/>
        <v>222</v>
      </c>
      <c r="K468" s="596">
        <f t="shared" si="1063"/>
        <v>197</v>
      </c>
      <c r="L468" s="1139">
        <f t="shared" si="1063"/>
        <v>833</v>
      </c>
      <c r="M468" s="596">
        <f t="shared" si="1063"/>
        <v>325</v>
      </c>
      <c r="N468" s="596">
        <f t="shared" si="1063"/>
        <v>254</v>
      </c>
      <c r="O468" s="596">
        <f t="shared" si="1063"/>
        <v>239</v>
      </c>
      <c r="P468" s="596">
        <f t="shared" si="1063"/>
        <v>304</v>
      </c>
      <c r="Q468" s="1139">
        <f t="shared" si="1063"/>
        <v>1122</v>
      </c>
      <c r="R468" s="596">
        <f t="shared" si="1063"/>
        <v>378</v>
      </c>
      <c r="S468" s="596">
        <f t="shared" si="1063"/>
        <v>251</v>
      </c>
      <c r="T468" s="596">
        <f t="shared" si="1063"/>
        <v>277</v>
      </c>
      <c r="U468" s="596">
        <f t="shared" si="1063"/>
        <v>484</v>
      </c>
      <c r="V468" s="1139">
        <f t="shared" si="1063"/>
        <v>1390</v>
      </c>
      <c r="W468" s="596">
        <f t="shared" si="1063"/>
        <v>308</v>
      </c>
      <c r="X468" s="596">
        <f t="shared" si="1063"/>
        <v>351</v>
      </c>
      <c r="Y468" s="596">
        <f t="shared" si="1063"/>
        <v>202</v>
      </c>
      <c r="Z468" s="596">
        <f t="shared" si="1063"/>
        <v>384</v>
      </c>
      <c r="AA468" s="1139">
        <f t="shared" si="1063"/>
        <v>1245</v>
      </c>
      <c r="AB468" s="596">
        <f t="shared" si="1063"/>
        <v>491</v>
      </c>
      <c r="AC468" s="596">
        <f t="shared" si="1063"/>
        <v>426</v>
      </c>
      <c r="AD468" s="596">
        <f t="shared" si="1063"/>
        <v>414</v>
      </c>
      <c r="AE468" s="596">
        <f t="shared" si="1063"/>
        <v>507</v>
      </c>
      <c r="AF468" s="1139">
        <f t="shared" si="1063"/>
        <v>1838</v>
      </c>
      <c r="AG468" s="596">
        <f t="shared" si="1063"/>
        <v>424</v>
      </c>
      <c r="AH468" s="596">
        <f t="shared" si="1063"/>
        <v>472</v>
      </c>
      <c r="AI468" s="596">
        <f t="shared" si="1063"/>
        <v>489</v>
      </c>
      <c r="AJ468" s="596">
        <f t="shared" si="1063"/>
        <v>395</v>
      </c>
      <c r="AK468" s="1139">
        <f t="shared" si="1063"/>
        <v>1780</v>
      </c>
      <c r="AL468" s="596">
        <f t="shared" si="1064" ref="AL468:AQ468">SUM(AL461:AL467)</f>
        <v>594</v>
      </c>
      <c r="AM468" s="596">
        <f t="shared" si="1064"/>
        <v>328</v>
      </c>
      <c r="AN468" s="596">
        <f t="shared" si="1064"/>
        <v>496</v>
      </c>
      <c r="AO468" s="596">
        <f t="shared" si="1064"/>
        <v>347</v>
      </c>
      <c r="AP468" s="1139">
        <f t="shared" si="1064"/>
        <v>1765</v>
      </c>
      <c r="AQ468" s="596">
        <f t="shared" si="1064"/>
        <v>469</v>
      </c>
      <c r="AR468" s="596">
        <f t="shared" si="1065" ref="AR468:AZ468">SUM(AR461:AR467)</f>
        <v>222</v>
      </c>
      <c r="AS468" s="596">
        <f t="shared" si="1065"/>
        <v>271</v>
      </c>
      <c r="AT468" s="596">
        <f t="shared" si="1065"/>
        <v>363</v>
      </c>
      <c r="AU468" s="1139">
        <f t="shared" si="1065"/>
        <v>1325</v>
      </c>
      <c r="AV468" s="596">
        <f t="shared" si="1065"/>
        <v>330</v>
      </c>
      <c r="AW468" s="596">
        <f t="shared" si="1065"/>
        <v>285</v>
      </c>
      <c r="AX468" s="596">
        <f t="shared" si="1065"/>
        <v>219</v>
      </c>
      <c r="AY468" s="596">
        <f t="shared" si="1065"/>
        <v>272</v>
      </c>
      <c r="AZ468" s="1139">
        <f t="shared" si="1065"/>
        <v>1106</v>
      </c>
      <c r="BA468" s="596">
        <f t="shared" si="1066" ref="BA468:BB468">SUM(BA461:BA467)</f>
        <v>274</v>
      </c>
      <c r="BB468" s="596">
        <f t="shared" si="1066"/>
        <v>221</v>
      </c>
      <c r="BC468" s="596">
        <f>SUM(BC461:BC467)</f>
        <v>220</v>
      </c>
      <c r="BD468" s="596">
        <f t="shared" si="1067" ref="BD468:BJ468">SUM(BD461:BD467)</f>
        <v>248</v>
      </c>
      <c r="BE468" s="1139">
        <f t="shared" si="1067"/>
        <v>963</v>
      </c>
      <c r="BF468" s="596">
        <f>SUM(BF461:BF467)</f>
        <v>248</v>
      </c>
      <c r="BG468" s="596">
        <f>SUM(BG461:BG467)</f>
        <v>218</v>
      </c>
      <c r="BH468" s="901">
        <f>SUM(BH461:BH467)</f>
        <v>191</v>
      </c>
      <c r="BI468" s="596">
        <f>SUM(BI461:BI467)</f>
        <v>315.50799804918023</v>
      </c>
      <c r="BJ468" s="1139">
        <f t="shared" si="1067"/>
        <v>972.50799804918029</v>
      </c>
      <c r="BK468" s="596">
        <f t="shared" si="1068" ref="BK468:BR468">SUM(BK461:BK467)</f>
        <v>293.36198574945206</v>
      </c>
      <c r="BL468" s="596">
        <f t="shared" si="1068"/>
        <v>259.77245142082188</v>
      </c>
      <c r="BM468" s="596">
        <f t="shared" si="1068"/>
        <v>279.81663242726023</v>
      </c>
      <c r="BN468" s="596">
        <f t="shared" si="1068"/>
        <v>337.18148403580813</v>
      </c>
      <c r="BO468" s="1139">
        <f t="shared" si="1068"/>
        <v>1170.1325536333422</v>
      </c>
      <c r="BP468" s="1139">
        <f t="shared" si="1068"/>
        <v>1262.6980643995962</v>
      </c>
      <c r="BQ468" s="1139">
        <f t="shared" si="1068"/>
        <v>1564.2660318054973</v>
      </c>
      <c r="BR468" s="1139">
        <f t="shared" si="1068"/>
        <v>1635.7135375929206</v>
      </c>
      <c r="BS468" s="124"/>
    </row>
    <row r="469" spans="1:71" s="680" customFormat="1" ht="15">
      <c r="A469" s="420" t="str">
        <f t="shared" si="1029"/>
        <v>Reinsurance and other receivables</v>
      </c>
      <c r="B469" s="417"/>
      <c r="C469" s="1131">
        <f t="shared" si="1069" ref="C469:H475">C401</f>
        <v>352</v>
      </c>
      <c r="D469" s="1131">
        <f t="shared" si="1069"/>
        <v>555</v>
      </c>
      <c r="E469" s="1131">
        <f t="shared" si="1069"/>
        <v>-228</v>
      </c>
      <c r="F469" s="1131">
        <f t="shared" si="1069"/>
        <v>-495</v>
      </c>
      <c r="G469" s="1131">
        <f t="shared" si="1069"/>
        <v>176</v>
      </c>
      <c r="H469" s="419">
        <f t="shared" si="1069"/>
        <v>459</v>
      </c>
      <c r="I469" s="419">
        <f t="shared" si="1070" ref="I469:K475">I401-H401</f>
        <v>-176</v>
      </c>
      <c r="J469" s="419">
        <f t="shared" si="1070"/>
        <v>-742</v>
      </c>
      <c r="K469" s="419">
        <f t="shared" si="1070"/>
        <v>260</v>
      </c>
      <c r="L469" s="1131">
        <f t="shared" si="1071" ref="L469:M475">L401</f>
        <v>-199</v>
      </c>
      <c r="M469" s="419">
        <f t="shared" si="1071"/>
        <v>483</v>
      </c>
      <c r="N469" s="419">
        <f t="shared" si="1072" ref="N469:P475">N401-M401</f>
        <v>-169</v>
      </c>
      <c r="O469" s="419">
        <f t="shared" si="1072"/>
        <v>-782</v>
      </c>
      <c r="P469" s="419">
        <f t="shared" si="1072"/>
        <v>458</v>
      </c>
      <c r="Q469" s="1131">
        <f t="shared" si="1073" ref="Q469:R475">Q401</f>
        <v>-10</v>
      </c>
      <c r="R469" s="419">
        <f t="shared" si="1073"/>
        <v>197</v>
      </c>
      <c r="S469" s="419">
        <f t="shared" si="1074" ref="S469:U475">S401-R401</f>
        <v>-155</v>
      </c>
      <c r="T469" s="419">
        <f t="shared" si="1074"/>
        <v>-1014</v>
      </c>
      <c r="U469" s="419">
        <f t="shared" si="1074"/>
        <v>657</v>
      </c>
      <c r="V469" s="1131">
        <f t="shared" si="1075" ref="V469:W475">V401</f>
        <v>-315</v>
      </c>
      <c r="W469" s="419">
        <f t="shared" si="1075"/>
        <v>63</v>
      </c>
      <c r="X469" s="419">
        <f t="shared" si="1076" ref="X469:Z475">X401-W401</f>
        <v>-354</v>
      </c>
      <c r="Y469" s="419">
        <f t="shared" si="1076"/>
        <v>-1176</v>
      </c>
      <c r="Z469" s="419">
        <f t="shared" si="1076"/>
        <v>504</v>
      </c>
      <c r="AA469" s="1131">
        <f t="shared" si="1077" ref="AA469:AB475">AA401</f>
        <v>-963</v>
      </c>
      <c r="AB469" s="419">
        <f t="shared" si="1077"/>
        <v>245</v>
      </c>
      <c r="AC469" s="419">
        <f t="shared" si="1078" ref="AC469:AE475">AC401-AB401</f>
        <v>-173</v>
      </c>
      <c r="AD469" s="419">
        <f t="shared" si="1078"/>
        <v>-940</v>
      </c>
      <c r="AE469" s="419">
        <f t="shared" si="1078"/>
        <v>657</v>
      </c>
      <c r="AF469" s="1131">
        <f t="shared" si="1079" ref="AF469:AG475">AF401</f>
        <v>-211</v>
      </c>
      <c r="AG469" s="419">
        <f t="shared" si="1079"/>
        <v>128</v>
      </c>
      <c r="AH469" s="419">
        <f t="shared" si="1080" ref="AH469:AJ475">AH401-AG401</f>
        <v>-43</v>
      </c>
      <c r="AI469" s="419">
        <f t="shared" si="1080"/>
        <v>-415</v>
      </c>
      <c r="AJ469" s="419">
        <f t="shared" si="1080"/>
        <v>218</v>
      </c>
      <c r="AK469" s="1131">
        <f t="shared" si="1081" ref="AK469:AL475">AK401</f>
        <v>-112</v>
      </c>
      <c r="AL469" s="419">
        <f t="shared" si="1081"/>
        <v>161</v>
      </c>
      <c r="AM469" s="419">
        <f t="shared" si="1082" ref="AM469:AO475">AM401-AL401</f>
        <v>-115</v>
      </c>
      <c r="AN469" s="419">
        <f t="shared" si="1082"/>
        <v>-643</v>
      </c>
      <c r="AO469" s="419">
        <f t="shared" si="1082"/>
        <v>64</v>
      </c>
      <c r="AP469" s="1131">
        <f t="shared" si="1083" ref="AP469:AQ475">AP401</f>
        <v>-533</v>
      </c>
      <c r="AQ469" s="419">
        <f t="shared" si="1083"/>
        <v>275</v>
      </c>
      <c r="AR469" s="419">
        <f t="shared" si="1084" ref="AR469:AT475">AR401-AQ401</f>
        <v>-422</v>
      </c>
      <c r="AS469" s="419">
        <f t="shared" si="1084"/>
        <v>-840</v>
      </c>
      <c r="AT469" s="419">
        <f t="shared" si="1084"/>
        <v>637</v>
      </c>
      <c r="AU469" s="1131">
        <f t="shared" si="1085" ref="AU469:AV475">AU401</f>
        <v>-350</v>
      </c>
      <c r="AV469" s="419">
        <f t="shared" si="1085"/>
        <v>39</v>
      </c>
      <c r="AW469" s="419">
        <f t="shared" si="1086" ref="AW469:AY475">AW401-AV401</f>
        <v>-501</v>
      </c>
      <c r="AX469" s="419">
        <f t="shared" si="1086"/>
        <v>-1368</v>
      </c>
      <c r="AY469" s="419">
        <f t="shared" si="1086"/>
        <v>1186</v>
      </c>
      <c r="AZ469" s="1131">
        <f t="shared" si="1087" ref="AZ469:BA475">AZ401</f>
        <v>-644</v>
      </c>
      <c r="BA469" s="419">
        <f t="shared" si="1087"/>
        <v>162</v>
      </c>
      <c r="BB469" s="419">
        <f t="shared" si="1088" ref="BB469:BC475">BB401-BA401</f>
        <v>-516</v>
      </c>
      <c r="BC469" s="419">
        <f t="shared" si="1088"/>
        <v>-1445</v>
      </c>
      <c r="BD469" s="419">
        <f t="shared" si="1089" ref="BD469:BD475">BD401-BC401</f>
        <v>1005</v>
      </c>
      <c r="BE469" s="1131">
        <f t="shared" si="1051"/>
        <v>-794</v>
      </c>
      <c r="BF469" s="419">
        <f t="shared" si="1090" ref="BF469">BF401</f>
        <v>-71</v>
      </c>
      <c r="BG469" s="419">
        <f t="shared" si="1052"/>
        <v>183</v>
      </c>
      <c r="BH469" s="464">
        <f t="shared" si="1091" ref="BH469:BH475">BH401-BG401</f>
        <v>-2582</v>
      </c>
      <c r="BI469" s="171">
        <f>-(BI146-BH146)</f>
        <v>-27.474388715538225</v>
      </c>
      <c r="BJ469" s="1133">
        <f t="shared" si="1092" ref="BJ469:BJ475">SUM(BF469,BG469,BH469,BI469)</f>
        <v>-2497.4743887155382</v>
      </c>
      <c r="BK469" s="171">
        <f>-(BK146-BJ146)</f>
        <v>-19.72942990667525</v>
      </c>
      <c r="BL469" s="171">
        <f>-(BL146-BK146)</f>
        <v>-28.765160091951657</v>
      </c>
      <c r="BM469" s="171">
        <f>-(BM146-BL146)</f>
        <v>-49.363882177695814</v>
      </c>
      <c r="BN469" s="171">
        <f>-(BN146-BM146)</f>
        <v>-26.892983710619774</v>
      </c>
      <c r="BO469" s="1133">
        <f t="shared" si="1093" ref="BO469:BO475">SUM(BK469,BL469,BM469,BN469)</f>
        <v>-124.75145588694249</v>
      </c>
      <c r="BP469" s="1131">
        <f>-(BP146-BO146)</f>
        <v>-129.46558396895944</v>
      </c>
      <c r="BQ469" s="1131">
        <f>-(BQ146-BP146)</f>
        <v>-76.767151428194666</v>
      </c>
      <c r="BR469" s="1133">
        <f>-(BR146-BQ146)</f>
        <v>-81.299781749184149</v>
      </c>
      <c r="BS469" s="119"/>
    </row>
    <row r="470" spans="1:71" s="680" customFormat="1" ht="15">
      <c r="A470" s="420" t="str">
        <f t="shared" si="1029"/>
        <v>Other assets</v>
      </c>
      <c r="B470" s="417"/>
      <c r="C470" s="1131">
        <f t="shared" si="1069"/>
        <v>145</v>
      </c>
      <c r="D470" s="1131">
        <f t="shared" si="1069"/>
        <v>8</v>
      </c>
      <c r="E470" s="1131">
        <f t="shared" si="1069"/>
        <v>-101</v>
      </c>
      <c r="F470" s="1131">
        <f t="shared" si="1069"/>
        <v>-51</v>
      </c>
      <c r="G470" s="1131">
        <f t="shared" si="1069"/>
        <v>-149</v>
      </c>
      <c r="H470" s="419">
        <f t="shared" si="1069"/>
        <v>-5</v>
      </c>
      <c r="I470" s="419">
        <f t="shared" si="1070"/>
        <v>-49</v>
      </c>
      <c r="J470" s="419">
        <f t="shared" si="1070"/>
        <v>16</v>
      </c>
      <c r="K470" s="419">
        <f t="shared" si="1070"/>
        <v>-49</v>
      </c>
      <c r="L470" s="1131">
        <f t="shared" si="1071"/>
        <v>-87</v>
      </c>
      <c r="M470" s="419">
        <f t="shared" si="1071"/>
        <v>27</v>
      </c>
      <c r="N470" s="419">
        <f t="shared" si="1072"/>
        <v>-110</v>
      </c>
      <c r="O470" s="419">
        <f t="shared" si="1072"/>
        <v>151</v>
      </c>
      <c r="P470" s="419">
        <f t="shared" si="1072"/>
        <v>-81</v>
      </c>
      <c r="Q470" s="1131">
        <f t="shared" si="1073"/>
        <v>-13</v>
      </c>
      <c r="R470" s="419">
        <f t="shared" si="1073"/>
        <v>2</v>
      </c>
      <c r="S470" s="419">
        <f t="shared" si="1074"/>
        <v>-152</v>
      </c>
      <c r="T470" s="419">
        <f t="shared" si="1074"/>
        <v>-107</v>
      </c>
      <c r="U470" s="419">
        <f t="shared" si="1074"/>
        <v>-210</v>
      </c>
      <c r="V470" s="1131">
        <f t="shared" si="1075"/>
        <v>-467</v>
      </c>
      <c r="W470" s="419">
        <f t="shared" si="1075"/>
        <v>-58</v>
      </c>
      <c r="X470" s="419">
        <f t="shared" si="1076"/>
        <v>50</v>
      </c>
      <c r="Y470" s="419">
        <f t="shared" si="1076"/>
        <v>-51</v>
      </c>
      <c r="Z470" s="419">
        <f t="shared" si="1076"/>
        <v>72</v>
      </c>
      <c r="AA470" s="1131">
        <f t="shared" si="1077"/>
        <v>13</v>
      </c>
      <c r="AB470" s="419">
        <f t="shared" si="1077"/>
        <v>26</v>
      </c>
      <c r="AC470" s="419">
        <f t="shared" si="1078"/>
        <v>-42</v>
      </c>
      <c r="AD470" s="419">
        <f t="shared" si="1078"/>
        <v>-241</v>
      </c>
      <c r="AE470" s="419">
        <f t="shared" si="1078"/>
        <v>353</v>
      </c>
      <c r="AF470" s="1131">
        <f t="shared" si="1079"/>
        <v>96</v>
      </c>
      <c r="AG470" s="419">
        <f t="shared" si="1079"/>
        <v>-271</v>
      </c>
      <c r="AH470" s="419">
        <f t="shared" si="1080"/>
        <v>-27</v>
      </c>
      <c r="AI470" s="419">
        <f t="shared" si="1080"/>
        <v>17</v>
      </c>
      <c r="AJ470" s="419">
        <f t="shared" si="1080"/>
        <v>-125</v>
      </c>
      <c r="AK470" s="1131">
        <f t="shared" si="1081"/>
        <v>-406</v>
      </c>
      <c r="AL470" s="419">
        <f t="shared" si="1081"/>
        <v>410</v>
      </c>
      <c r="AM470" s="419">
        <f t="shared" si="1082"/>
        <v>-199</v>
      </c>
      <c r="AN470" s="419">
        <f t="shared" si="1082"/>
        <v>-91</v>
      </c>
      <c r="AO470" s="419">
        <f t="shared" si="1082"/>
        <v>18</v>
      </c>
      <c r="AP470" s="1131">
        <f t="shared" si="1083"/>
        <v>138</v>
      </c>
      <c r="AQ470" s="419">
        <f t="shared" si="1083"/>
        <v>164</v>
      </c>
      <c r="AR470" s="419">
        <f t="shared" si="1084"/>
        <v>86</v>
      </c>
      <c r="AS470" s="419">
        <f t="shared" si="1084"/>
        <v>-12</v>
      </c>
      <c r="AT470" s="419">
        <f t="shared" si="1084"/>
        <v>106</v>
      </c>
      <c r="AU470" s="1131">
        <f t="shared" si="1085"/>
        <v>344</v>
      </c>
      <c r="AV470" s="419">
        <f t="shared" si="1085"/>
        <v>1</v>
      </c>
      <c r="AW470" s="419">
        <f t="shared" si="1086"/>
        <v>-101</v>
      </c>
      <c r="AX470" s="419">
        <f t="shared" si="1086"/>
        <v>-63</v>
      </c>
      <c r="AY470" s="419">
        <f t="shared" si="1086"/>
        <v>25</v>
      </c>
      <c r="AZ470" s="1131">
        <f t="shared" si="1087"/>
        <v>-138</v>
      </c>
      <c r="BA470" s="419">
        <f t="shared" si="1087"/>
        <v>48</v>
      </c>
      <c r="BB470" s="419">
        <f t="shared" si="1088"/>
        <v>-88</v>
      </c>
      <c r="BC470" s="419">
        <f t="shared" si="1088"/>
        <v>-23</v>
      </c>
      <c r="BD470" s="419">
        <f t="shared" si="1089"/>
        <v>44</v>
      </c>
      <c r="BE470" s="1131">
        <f t="shared" si="1051"/>
        <v>-19</v>
      </c>
      <c r="BF470" s="419">
        <f t="shared" si="1094" ref="BF470">BF402</f>
        <v>57</v>
      </c>
      <c r="BG470" s="419">
        <f t="shared" si="1052"/>
        <v>-45</v>
      </c>
      <c r="BH470" s="464">
        <f t="shared" si="1091"/>
        <v>-13</v>
      </c>
      <c r="BI470" s="171">
        <f>-BI141</f>
        <v>-79.730616999999995</v>
      </c>
      <c r="BJ470" s="1133">
        <f t="shared" si="1092"/>
        <v>-80.730616999999995</v>
      </c>
      <c r="BK470" s="171">
        <f>-BK141</f>
        <v>-73.513603000000003</v>
      </c>
      <c r="BL470" s="171">
        <f>-BL141</f>
        <v>-120.474547</v>
      </c>
      <c r="BM470" s="171">
        <f>-BM141</f>
        <v>-281.38711999999998</v>
      </c>
      <c r="BN470" s="171">
        <f>-BN141</f>
        <v>-112.195853</v>
      </c>
      <c r="BO470" s="1133">
        <f t="shared" si="1093"/>
        <v>-587.57112299999994</v>
      </c>
      <c r="BP470" s="1131">
        <f>-BP141</f>
        <v>-499.90317900000002</v>
      </c>
      <c r="BQ470" s="1131">
        <f>-BQ141</f>
        <v>-247.83678800000001</v>
      </c>
      <c r="BR470" s="1133">
        <f>-BR141</f>
        <v>-259.898909</v>
      </c>
      <c r="BS470" s="119"/>
    </row>
    <row r="471" spans="1:71" s="680" customFormat="1" ht="15">
      <c r="A471" s="420" t="str">
        <f t="shared" si="1029"/>
        <v>Insurance claims and reserves</v>
      </c>
      <c r="B471" s="417"/>
      <c r="C471" s="1131">
        <f t="shared" si="1069"/>
        <v>-421</v>
      </c>
      <c r="D471" s="1131">
        <f t="shared" si="1069"/>
        <v>-413</v>
      </c>
      <c r="E471" s="1131">
        <f t="shared" si="1069"/>
        <v>134</v>
      </c>
      <c r="F471" s="1131">
        <f t="shared" si="1069"/>
        <v>918</v>
      </c>
      <c r="G471" s="1131">
        <f t="shared" si="1069"/>
        <v>-200</v>
      </c>
      <c r="H471" s="419">
        <f t="shared" si="1069"/>
        <v>-226</v>
      </c>
      <c r="I471" s="419">
        <f t="shared" si="1070"/>
        <v>237</v>
      </c>
      <c r="J471" s="419">
        <f t="shared" si="1070"/>
        <v>494</v>
      </c>
      <c r="K471" s="419">
        <f t="shared" si="1070"/>
        <v>82</v>
      </c>
      <c r="L471" s="1131">
        <f t="shared" si="1071"/>
        <v>587</v>
      </c>
      <c r="M471" s="419">
        <f t="shared" si="1071"/>
        <v>-242</v>
      </c>
      <c r="N471" s="419">
        <f t="shared" si="1072"/>
        <v>178</v>
      </c>
      <c r="O471" s="419">
        <f t="shared" si="1072"/>
        <v>555</v>
      </c>
      <c r="P471" s="419">
        <f t="shared" si="1072"/>
        <v>-40</v>
      </c>
      <c r="Q471" s="1131">
        <f t="shared" si="1073"/>
        <v>451</v>
      </c>
      <c r="R471" s="419">
        <f t="shared" si="1073"/>
        <v>-26</v>
      </c>
      <c r="S471" s="419">
        <f t="shared" si="1074"/>
        <v>147</v>
      </c>
      <c r="T471" s="419">
        <f t="shared" si="1074"/>
        <v>675</v>
      </c>
      <c r="U471" s="419">
        <f t="shared" si="1074"/>
        <v>-263</v>
      </c>
      <c r="V471" s="1131">
        <f t="shared" si="1075"/>
        <v>533</v>
      </c>
      <c r="W471" s="419">
        <f t="shared" si="1075"/>
        <v>57</v>
      </c>
      <c r="X471" s="419">
        <f t="shared" si="1076"/>
        <v>218</v>
      </c>
      <c r="Y471" s="419">
        <f t="shared" si="1076"/>
        <v>1097</v>
      </c>
      <c r="Z471" s="419">
        <f t="shared" si="1076"/>
        <v>-51</v>
      </c>
      <c r="AA471" s="1131">
        <f t="shared" si="1077"/>
        <v>1321</v>
      </c>
      <c r="AB471" s="419">
        <f t="shared" si="1077"/>
        <v>-284</v>
      </c>
      <c r="AC471" s="419">
        <f t="shared" si="1078"/>
        <v>16</v>
      </c>
      <c r="AD471" s="419">
        <f t="shared" si="1078"/>
        <v>775</v>
      </c>
      <c r="AE471" s="419">
        <f t="shared" si="1078"/>
        <v>-82</v>
      </c>
      <c r="AF471" s="1131">
        <f t="shared" si="1079"/>
        <v>425</v>
      </c>
      <c r="AG471" s="419">
        <f t="shared" si="1079"/>
        <v>-112</v>
      </c>
      <c r="AH471" s="419">
        <f t="shared" si="1080"/>
        <v>20</v>
      </c>
      <c r="AI471" s="419">
        <f t="shared" si="1080"/>
        <v>567</v>
      </c>
      <c r="AJ471" s="419">
        <f t="shared" si="1080"/>
        <v>228</v>
      </c>
      <c r="AK471" s="1131">
        <f t="shared" si="1081"/>
        <v>703</v>
      </c>
      <c r="AL471" s="419">
        <f t="shared" si="1081"/>
        <v>-152</v>
      </c>
      <c r="AM471" s="419">
        <f t="shared" si="1082"/>
        <v>182</v>
      </c>
      <c r="AN471" s="419">
        <f t="shared" si="1082"/>
        <v>672</v>
      </c>
      <c r="AO471" s="419">
        <f t="shared" si="1082"/>
        <v>110</v>
      </c>
      <c r="AP471" s="1131">
        <f t="shared" si="1083"/>
        <v>812</v>
      </c>
      <c r="AQ471" s="419">
        <f t="shared" si="1083"/>
        <v>5</v>
      </c>
      <c r="AR471" s="419">
        <f t="shared" si="1084"/>
        <v>344</v>
      </c>
      <c r="AS471" s="419">
        <f t="shared" si="1084"/>
        <v>855</v>
      </c>
      <c r="AT471" s="419">
        <f t="shared" si="1084"/>
        <v>-292</v>
      </c>
      <c r="AU471" s="1131">
        <f t="shared" si="1085"/>
        <v>912</v>
      </c>
      <c r="AV471" s="419">
        <f t="shared" si="1085"/>
        <v>77</v>
      </c>
      <c r="AW471" s="419">
        <f t="shared" si="1086"/>
        <v>406</v>
      </c>
      <c r="AX471" s="419">
        <f t="shared" si="1086"/>
        <v>1254</v>
      </c>
      <c r="AY471" s="419">
        <f t="shared" si="1086"/>
        <v>-632</v>
      </c>
      <c r="AZ471" s="1131">
        <f t="shared" si="1087"/>
        <v>1105</v>
      </c>
      <c r="BA471" s="419">
        <f t="shared" si="1087"/>
        <v>-24</v>
      </c>
      <c r="BB471" s="419">
        <f t="shared" si="1088"/>
        <v>415</v>
      </c>
      <c r="BC471" s="419">
        <f t="shared" si="1088"/>
        <v>1277</v>
      </c>
      <c r="BD471" s="419">
        <f t="shared" si="1089"/>
        <v>-350</v>
      </c>
      <c r="BE471" s="1131">
        <f t="shared" si="1051"/>
        <v>1318</v>
      </c>
      <c r="BF471" s="419">
        <f t="shared" si="1095" ref="BF471">BF403</f>
        <v>162</v>
      </c>
      <c r="BG471" s="419">
        <f t="shared" si="1052"/>
        <v>-277</v>
      </c>
      <c r="BH471" s="464">
        <f t="shared" si="1091"/>
        <v>2103</v>
      </c>
      <c r="BI471" s="171">
        <f>BI145-BH145</f>
        <v>113.68450699999994</v>
      </c>
      <c r="BJ471" s="1133">
        <f t="shared" si="1092"/>
        <v>2101.6845069999999</v>
      </c>
      <c r="BK471" s="171">
        <f>BK145-BJ145</f>
        <v>104.65915499999937</v>
      </c>
      <c r="BL471" s="171">
        <f>BL145-BK145</f>
        <v>119.71384800000124</v>
      </c>
      <c r="BM471" s="171">
        <f>BM145-BL145</f>
        <v>149.17741799999931</v>
      </c>
      <c r="BN471" s="171">
        <f>BN145-BM145</f>
        <v>110.48581399999966</v>
      </c>
      <c r="BO471" s="1133">
        <f t="shared" si="1093"/>
        <v>484.03623499999958</v>
      </c>
      <c r="BP471" s="1131">
        <f>BP145-BO145</f>
        <v>552.47140300000137</v>
      </c>
      <c r="BQ471" s="1131">
        <f>BQ145-BP145</f>
        <v>628.2513459999991</v>
      </c>
      <c r="BR471" s="1133">
        <f>BR145-BQ145</f>
        <v>661.41581799999949</v>
      </c>
      <c r="BS471" s="119"/>
    </row>
    <row r="472" spans="1:71" s="680" customFormat="1" ht="15">
      <c r="A472" s="420" t="str">
        <f t="shared" si="1029"/>
        <v>Payable to reinsurers</v>
      </c>
      <c r="B472" s="417"/>
      <c r="C472" s="1131">
        <f t="shared" si="1069"/>
        <v>-41</v>
      </c>
      <c r="D472" s="1131">
        <f t="shared" si="1069"/>
        <v>-150</v>
      </c>
      <c r="E472" s="1131">
        <f t="shared" si="1069"/>
        <v>155</v>
      </c>
      <c r="F472" s="1131">
        <f t="shared" si="1069"/>
        <v>0</v>
      </c>
      <c r="G472" s="1131">
        <f t="shared" si="1069"/>
        <v>51</v>
      </c>
      <c r="H472" s="419">
        <f t="shared" si="1069"/>
        <v>-108</v>
      </c>
      <c r="I472" s="419">
        <f t="shared" si="1070"/>
        <v>42</v>
      </c>
      <c r="J472" s="419">
        <f t="shared" si="1070"/>
        <v>228</v>
      </c>
      <c r="K472" s="419">
        <f t="shared" si="1070"/>
        <v>-28</v>
      </c>
      <c r="L472" s="1131">
        <f t="shared" si="1071"/>
        <v>134</v>
      </c>
      <c r="M472" s="419">
        <f t="shared" si="1071"/>
        <v>-151</v>
      </c>
      <c r="N472" s="419">
        <f t="shared" si="1072"/>
        <v>17</v>
      </c>
      <c r="O472" s="419">
        <f t="shared" si="1072"/>
        <v>213</v>
      </c>
      <c r="P472" s="419">
        <f t="shared" si="1072"/>
        <v>-133</v>
      </c>
      <c r="Q472" s="1131">
        <f t="shared" si="1073"/>
        <v>-54</v>
      </c>
      <c r="R472" s="419">
        <f t="shared" si="1073"/>
        <v>-90</v>
      </c>
      <c r="S472" s="419">
        <f t="shared" si="1074"/>
        <v>87</v>
      </c>
      <c r="T472" s="419">
        <f t="shared" si="1074"/>
        <v>247</v>
      </c>
      <c r="U472" s="419">
        <f t="shared" si="1074"/>
        <v>-201</v>
      </c>
      <c r="V472" s="1131">
        <f t="shared" si="1075"/>
        <v>43</v>
      </c>
      <c r="W472" s="419">
        <f t="shared" si="1075"/>
        <v>-13</v>
      </c>
      <c r="X472" s="419">
        <f t="shared" si="1076"/>
        <v>60</v>
      </c>
      <c r="Y472" s="419">
        <f t="shared" si="1076"/>
        <v>225</v>
      </c>
      <c r="Z472" s="419">
        <f t="shared" si="1076"/>
        <v>-163</v>
      </c>
      <c r="AA472" s="1131">
        <f t="shared" si="1077"/>
        <v>109</v>
      </c>
      <c r="AB472" s="419">
        <f t="shared" si="1077"/>
        <v>-82</v>
      </c>
      <c r="AC472" s="419">
        <f t="shared" si="1078"/>
        <v>60</v>
      </c>
      <c r="AD472" s="419">
        <f t="shared" si="1078"/>
        <v>211</v>
      </c>
      <c r="AE472" s="419">
        <f t="shared" si="1078"/>
        <v>-180</v>
      </c>
      <c r="AF472" s="1131">
        <f t="shared" si="1079"/>
        <v>9</v>
      </c>
      <c r="AG472" s="419">
        <f t="shared" si="1079"/>
        <v>-22</v>
      </c>
      <c r="AH472" s="419">
        <f t="shared" si="1080"/>
        <v>25</v>
      </c>
      <c r="AI472" s="419">
        <f t="shared" si="1080"/>
        <v>112</v>
      </c>
      <c r="AJ472" s="419">
        <f t="shared" si="1080"/>
        <v>-53</v>
      </c>
      <c r="AK472" s="1131">
        <f t="shared" si="1081"/>
        <v>62</v>
      </c>
      <c r="AL472" s="419">
        <f t="shared" si="1081"/>
        <v>-35</v>
      </c>
      <c r="AM472" s="419">
        <f t="shared" si="1082"/>
        <v>-33</v>
      </c>
      <c r="AN472" s="419">
        <f t="shared" si="1082"/>
        <v>231</v>
      </c>
      <c r="AO472" s="419">
        <f t="shared" si="1082"/>
        <v>-150</v>
      </c>
      <c r="AP472" s="1131">
        <f t="shared" si="1083"/>
        <v>13</v>
      </c>
      <c r="AQ472" s="419">
        <f t="shared" si="1083"/>
        <v>-54</v>
      </c>
      <c r="AR472" s="419">
        <f t="shared" si="1084"/>
        <v>76</v>
      </c>
      <c r="AS472" s="419">
        <f t="shared" si="1084"/>
        <v>317</v>
      </c>
      <c r="AT472" s="419">
        <f t="shared" si="1084"/>
        <v>-226</v>
      </c>
      <c r="AU472" s="1131">
        <f t="shared" si="1085"/>
        <v>113</v>
      </c>
      <c r="AV472" s="419">
        <f t="shared" si="1085"/>
        <v>-10</v>
      </c>
      <c r="AW472" s="419">
        <f t="shared" si="1086"/>
        <v>61</v>
      </c>
      <c r="AX472" s="419">
        <f t="shared" si="1086"/>
        <v>395</v>
      </c>
      <c r="AY472" s="419">
        <f t="shared" si="1086"/>
        <v>-331</v>
      </c>
      <c r="AZ472" s="1131">
        <f t="shared" si="1087"/>
        <v>115</v>
      </c>
      <c r="BA472" s="419">
        <f t="shared" si="1087"/>
        <v>-124</v>
      </c>
      <c r="BB472" s="419">
        <f t="shared" si="1088"/>
        <v>127</v>
      </c>
      <c r="BC472" s="419">
        <f t="shared" si="1088"/>
        <v>360</v>
      </c>
      <c r="BD472" s="419">
        <f t="shared" si="1089"/>
        <v>-212</v>
      </c>
      <c r="BE472" s="1131">
        <f t="shared" si="1051"/>
        <v>151</v>
      </c>
      <c r="BF472" s="419">
        <f t="shared" si="1096" ref="BF472">BF404</f>
        <v>-108</v>
      </c>
      <c r="BG472" s="419">
        <f t="shared" si="1052"/>
        <v>98</v>
      </c>
      <c r="BH472" s="464">
        <f t="shared" si="1091"/>
        <v>444</v>
      </c>
      <c r="BI472" s="171"/>
      <c r="BJ472" s="1133">
        <f t="shared" si="1092"/>
        <v>434</v>
      </c>
      <c r="BK472" s="171"/>
      <c r="BL472" s="171"/>
      <c r="BM472" s="171"/>
      <c r="BN472" s="171"/>
      <c r="BO472" s="1133">
        <f t="shared" si="1093"/>
        <v>0</v>
      </c>
      <c r="BP472" s="1131"/>
      <c r="BQ472" s="1131"/>
      <c r="BR472" s="1133"/>
      <c r="BS472" s="119"/>
    </row>
    <row r="473" spans="1:71" s="680" customFormat="1" ht="15">
      <c r="A473" s="420" t="str">
        <f t="shared" si="1029"/>
        <v>Other liabilities</v>
      </c>
      <c r="B473" s="417"/>
      <c r="C473" s="1131">
        <f t="shared" si="1069"/>
        <v>-17</v>
      </c>
      <c r="D473" s="1131">
        <f t="shared" si="1069"/>
        <v>2</v>
      </c>
      <c r="E473" s="1131">
        <f t="shared" si="1069"/>
        <v>245</v>
      </c>
      <c r="F473" s="1131">
        <f t="shared" si="1069"/>
        <v>-180</v>
      </c>
      <c r="G473" s="1131">
        <f t="shared" si="1069"/>
        <v>280</v>
      </c>
      <c r="H473" s="419">
        <f t="shared" si="1069"/>
        <v>-60</v>
      </c>
      <c r="I473" s="419">
        <f t="shared" si="1070"/>
        <v>23</v>
      </c>
      <c r="J473" s="419">
        <f t="shared" si="1070"/>
        <v>-55</v>
      </c>
      <c r="K473" s="419">
        <f t="shared" si="1070"/>
        <v>29</v>
      </c>
      <c r="L473" s="1131">
        <f t="shared" si="1071"/>
        <v>-63</v>
      </c>
      <c r="M473" s="419">
        <f t="shared" si="1071"/>
        <v>-41</v>
      </c>
      <c r="N473" s="419">
        <f t="shared" si="1072"/>
        <v>94</v>
      </c>
      <c r="O473" s="419">
        <f t="shared" si="1072"/>
        <v>-98</v>
      </c>
      <c r="P473" s="419">
        <f t="shared" si="1072"/>
        <v>57</v>
      </c>
      <c r="Q473" s="1131">
        <f t="shared" si="1073"/>
        <v>12</v>
      </c>
      <c r="R473" s="419">
        <f t="shared" si="1073"/>
        <v>15</v>
      </c>
      <c r="S473" s="419">
        <f t="shared" si="1074"/>
        <v>-3</v>
      </c>
      <c r="T473" s="419">
        <f t="shared" si="1074"/>
        <v>218</v>
      </c>
      <c r="U473" s="419">
        <f t="shared" si="1074"/>
        <v>35</v>
      </c>
      <c r="V473" s="1131">
        <f t="shared" si="1075"/>
        <v>265</v>
      </c>
      <c r="W473" s="419">
        <f t="shared" si="1075"/>
        <v>45</v>
      </c>
      <c r="X473" s="419">
        <f t="shared" si="1076"/>
        <v>-77</v>
      </c>
      <c r="Y473" s="419">
        <f t="shared" si="1076"/>
        <v>32</v>
      </c>
      <c r="Z473" s="419">
        <f t="shared" si="1076"/>
        <v>-18</v>
      </c>
      <c r="AA473" s="1131">
        <f t="shared" si="1077"/>
        <v>-18</v>
      </c>
      <c r="AB473" s="419">
        <f t="shared" si="1077"/>
        <v>-16</v>
      </c>
      <c r="AC473" s="419">
        <f t="shared" si="1078"/>
        <v>71</v>
      </c>
      <c r="AD473" s="419">
        <f t="shared" si="1078"/>
        <v>291</v>
      </c>
      <c r="AE473" s="419">
        <f t="shared" si="1078"/>
        <v>-486</v>
      </c>
      <c r="AF473" s="1131">
        <f t="shared" si="1079"/>
        <v>-140</v>
      </c>
      <c r="AG473" s="419">
        <f t="shared" si="1079"/>
        <v>304</v>
      </c>
      <c r="AH473" s="419">
        <f t="shared" si="1080"/>
        <v>25</v>
      </c>
      <c r="AI473" s="419">
        <f t="shared" si="1080"/>
        <v>88</v>
      </c>
      <c r="AJ473" s="419">
        <f t="shared" si="1080"/>
        <v>99</v>
      </c>
      <c r="AK473" s="1131">
        <f t="shared" si="1081"/>
        <v>516</v>
      </c>
      <c r="AL473" s="419">
        <f t="shared" si="1081"/>
        <v>-543</v>
      </c>
      <c r="AM473" s="419">
        <f t="shared" si="1082"/>
        <v>310</v>
      </c>
      <c r="AN473" s="419">
        <f t="shared" si="1082"/>
        <v>13</v>
      </c>
      <c r="AO473" s="419">
        <f t="shared" si="1082"/>
        <v>149</v>
      </c>
      <c r="AP473" s="1131">
        <f t="shared" si="1083"/>
        <v>-71</v>
      </c>
      <c r="AQ473" s="419">
        <f t="shared" si="1083"/>
        <v>-25</v>
      </c>
      <c r="AR473" s="419">
        <f t="shared" si="1084"/>
        <v>148</v>
      </c>
      <c r="AS473" s="419">
        <f t="shared" si="1084"/>
        <v>-35</v>
      </c>
      <c r="AT473" s="419">
        <f t="shared" si="1084"/>
        <v>-158</v>
      </c>
      <c r="AU473" s="1131">
        <f t="shared" si="1085"/>
        <v>-70</v>
      </c>
      <c r="AV473" s="419">
        <f t="shared" si="1085"/>
        <v>18</v>
      </c>
      <c r="AW473" s="419">
        <f t="shared" si="1086"/>
        <v>-5</v>
      </c>
      <c r="AX473" s="419">
        <f t="shared" si="1086"/>
        <v>3</v>
      </c>
      <c r="AY473" s="419">
        <f t="shared" si="1086"/>
        <v>-85</v>
      </c>
      <c r="AZ473" s="1131">
        <f t="shared" si="1087"/>
        <v>-69</v>
      </c>
      <c r="BA473" s="419">
        <f t="shared" si="1087"/>
        <v>-28</v>
      </c>
      <c r="BB473" s="419">
        <f t="shared" si="1088"/>
        <v>52</v>
      </c>
      <c r="BC473" s="419">
        <f t="shared" si="1088"/>
        <v>333</v>
      </c>
      <c r="BD473" s="419">
        <f t="shared" si="1089"/>
        <v>-285</v>
      </c>
      <c r="BE473" s="1131">
        <f t="shared" si="1051"/>
        <v>72</v>
      </c>
      <c r="BF473" s="419">
        <f t="shared" si="1097" ref="BF473">BF405</f>
        <v>-42</v>
      </c>
      <c r="BG473" s="419">
        <f t="shared" si="1052"/>
        <v>-143</v>
      </c>
      <c r="BH473" s="464">
        <f t="shared" si="1091"/>
        <v>167</v>
      </c>
      <c r="BI473" s="171">
        <f>BI140</f>
        <v>250.17901699999999</v>
      </c>
      <c r="BJ473" s="1133">
        <f t="shared" si="1092"/>
        <v>232.17901699999999</v>
      </c>
      <c r="BK473" s="171">
        <f>BK140</f>
        <v>316.45138800000001</v>
      </c>
      <c r="BL473" s="171">
        <f>BL140</f>
        <v>380.90909699999997</v>
      </c>
      <c r="BM473" s="171">
        <f>BM140</f>
        <v>568.96313999999995</v>
      </c>
      <c r="BN473" s="171">
        <f>BN140</f>
        <v>348.74070799999998</v>
      </c>
      <c r="BO473" s="1133">
        <f t="shared" si="1093"/>
        <v>1615.064333</v>
      </c>
      <c r="BP473" s="1131">
        <f>BP140</f>
        <v>1633.350181</v>
      </c>
      <c r="BQ473" s="1131">
        <f>BQ140</f>
        <v>1780.4144389999999</v>
      </c>
      <c r="BR473" s="1133">
        <f>BR140</f>
        <v>1854.491939</v>
      </c>
      <c r="BS473" s="119"/>
    </row>
    <row r="474" spans="1:71" s="680" customFormat="1" ht="15">
      <c r="A474" s="420" t="str">
        <f t="shared" si="1029"/>
        <v>Managed investment entities’ assets/liabilities</v>
      </c>
      <c r="B474" s="417"/>
      <c r="C474" s="1131">
        <f t="shared" si="1069"/>
        <v>0</v>
      </c>
      <c r="D474" s="1131">
        <f t="shared" si="1069"/>
        <v>89</v>
      </c>
      <c r="E474" s="1131">
        <f t="shared" si="1069"/>
        <v>-212</v>
      </c>
      <c r="F474" s="1131">
        <f t="shared" si="1069"/>
        <v>-21</v>
      </c>
      <c r="G474" s="1131">
        <f t="shared" si="1069"/>
        <v>-98</v>
      </c>
      <c r="H474" s="419">
        <f t="shared" si="1069"/>
        <v>-99</v>
      </c>
      <c r="I474" s="419">
        <f t="shared" si="1070"/>
        <v>54</v>
      </c>
      <c r="J474" s="419">
        <f t="shared" si="1070"/>
        <v>1</v>
      </c>
      <c r="K474" s="419">
        <f t="shared" si="1070"/>
        <v>46</v>
      </c>
      <c r="L474" s="1131">
        <f t="shared" si="1071"/>
        <v>2</v>
      </c>
      <c r="M474" s="419">
        <f t="shared" si="1071"/>
        <v>-25</v>
      </c>
      <c r="N474" s="419">
        <f t="shared" si="1072"/>
        <v>-82</v>
      </c>
      <c r="O474" s="419">
        <f t="shared" si="1072"/>
        <v>54</v>
      </c>
      <c r="P474" s="419">
        <f t="shared" si="1072"/>
        <v>-137</v>
      </c>
      <c r="Q474" s="1131">
        <f t="shared" si="1073"/>
        <v>-190</v>
      </c>
      <c r="R474" s="419">
        <f t="shared" si="1073"/>
        <v>-55</v>
      </c>
      <c r="S474" s="419">
        <f t="shared" si="1074"/>
        <v>-144</v>
      </c>
      <c r="T474" s="419">
        <f t="shared" si="1074"/>
        <v>-36</v>
      </c>
      <c r="U474" s="419">
        <f t="shared" si="1074"/>
        <v>-44</v>
      </c>
      <c r="V474" s="1131">
        <f t="shared" si="1075"/>
        <v>-279</v>
      </c>
      <c r="W474" s="419">
        <f t="shared" si="1075"/>
        <v>-487</v>
      </c>
      <c r="X474" s="419">
        <f t="shared" si="1076"/>
        <v>415</v>
      </c>
      <c r="Y474" s="419">
        <f t="shared" si="1076"/>
        <v>86</v>
      </c>
      <c r="Z474" s="419">
        <f t="shared" si="1076"/>
        <v>46</v>
      </c>
      <c r="AA474" s="1131">
        <f t="shared" si="1077"/>
        <v>60</v>
      </c>
      <c r="AB474" s="419">
        <f t="shared" si="1077"/>
        <v>31</v>
      </c>
      <c r="AC474" s="419">
        <f t="shared" si="1078"/>
        <v>107</v>
      </c>
      <c r="AD474" s="419">
        <f t="shared" si="1078"/>
        <v>-34</v>
      </c>
      <c r="AE474" s="419">
        <f t="shared" si="1078"/>
        <v>44</v>
      </c>
      <c r="AF474" s="1131">
        <f t="shared" si="1079"/>
        <v>148</v>
      </c>
      <c r="AG474" s="419">
        <f t="shared" si="1079"/>
        <v>16</v>
      </c>
      <c r="AH474" s="419">
        <f t="shared" si="1080"/>
        <v>-19</v>
      </c>
      <c r="AI474" s="419">
        <f t="shared" si="1080"/>
        <v>1</v>
      </c>
      <c r="AJ474" s="419">
        <f t="shared" si="1080"/>
        <v>25</v>
      </c>
      <c r="AK474" s="1131">
        <f t="shared" si="1081"/>
        <v>23</v>
      </c>
      <c r="AL474" s="419">
        <f t="shared" si="1081"/>
        <v>89</v>
      </c>
      <c r="AM474" s="419">
        <f t="shared" si="1082"/>
        <v>27</v>
      </c>
      <c r="AN474" s="419">
        <f t="shared" si="1082"/>
        <v>-17</v>
      </c>
      <c r="AO474" s="419">
        <f t="shared" si="1082"/>
        <v>-74</v>
      </c>
      <c r="AP474" s="1131">
        <f t="shared" si="1083"/>
        <v>25</v>
      </c>
      <c r="AQ474" s="419">
        <f t="shared" si="1083"/>
        <v>-38</v>
      </c>
      <c r="AR474" s="419">
        <f t="shared" si="1084"/>
        <v>16</v>
      </c>
      <c r="AS474" s="419">
        <f t="shared" si="1084"/>
        <v>-56</v>
      </c>
      <c r="AT474" s="419">
        <f t="shared" si="1084"/>
        <v>-66</v>
      </c>
      <c r="AU474" s="1131">
        <f t="shared" si="1085"/>
        <v>-144</v>
      </c>
      <c r="AV474" s="419">
        <f t="shared" si="1085"/>
        <v>172</v>
      </c>
      <c r="AW474" s="419">
        <f t="shared" si="1086"/>
        <v>-130</v>
      </c>
      <c r="AX474" s="419">
        <f t="shared" si="1086"/>
        <v>91</v>
      </c>
      <c r="AY474" s="419">
        <f t="shared" si="1086"/>
        <v>-316</v>
      </c>
      <c r="AZ474" s="1131">
        <f t="shared" si="1087"/>
        <v>-183</v>
      </c>
      <c r="BA474" s="419">
        <f t="shared" si="1087"/>
        <v>139</v>
      </c>
      <c r="BB474" s="419">
        <f t="shared" si="1088"/>
        <v>-69</v>
      </c>
      <c r="BC474" s="419">
        <f t="shared" si="1088"/>
        <v>-44</v>
      </c>
      <c r="BD474" s="419">
        <f t="shared" si="1089"/>
        <v>279</v>
      </c>
      <c r="BE474" s="1131">
        <f t="shared" si="1051"/>
        <v>305</v>
      </c>
      <c r="BF474" s="419">
        <f t="shared" si="1098" ref="BF474">BF406</f>
        <v>-124</v>
      </c>
      <c r="BG474" s="419">
        <f t="shared" si="1052"/>
        <v>-115</v>
      </c>
      <c r="BH474" s="464">
        <f t="shared" si="1091"/>
        <v>172</v>
      </c>
      <c r="BI474" s="171"/>
      <c r="BJ474" s="1133">
        <f t="shared" si="1092"/>
        <v>-67</v>
      </c>
      <c r="BK474" s="171"/>
      <c r="BL474" s="171"/>
      <c r="BM474" s="171"/>
      <c r="BN474" s="171"/>
      <c r="BO474" s="1133">
        <f t="shared" si="1093"/>
        <v>0</v>
      </c>
      <c r="BP474" s="1131"/>
      <c r="BQ474" s="1131"/>
      <c r="BR474" s="1133"/>
      <c r="BS474" s="119"/>
    </row>
    <row r="475" spans="1:71" s="680" customFormat="1" ht="15">
      <c r="A475" s="598" t="str">
        <f t="shared" si="1029"/>
        <v>Other operating activities, net</v>
      </c>
      <c r="B475" s="511"/>
      <c r="C475" s="1134">
        <f t="shared" si="1069"/>
        <v>-9</v>
      </c>
      <c r="D475" s="1134">
        <f t="shared" si="1069"/>
        <v>6</v>
      </c>
      <c r="E475" s="1134">
        <f t="shared" si="1069"/>
        <v>23</v>
      </c>
      <c r="F475" s="1134">
        <f t="shared" si="1069"/>
        <v>8</v>
      </c>
      <c r="G475" s="1134">
        <f t="shared" si="1069"/>
        <v>24</v>
      </c>
      <c r="H475" s="363">
        <f t="shared" si="1069"/>
        <v>4</v>
      </c>
      <c r="I475" s="363">
        <f t="shared" si="1070"/>
        <v>-11</v>
      </c>
      <c r="J475" s="363">
        <f t="shared" si="1070"/>
        <v>11</v>
      </c>
      <c r="K475" s="363">
        <f t="shared" si="1070"/>
        <v>11</v>
      </c>
      <c r="L475" s="1134">
        <f t="shared" si="1071"/>
        <v>15</v>
      </c>
      <c r="M475" s="363">
        <f t="shared" si="1071"/>
        <v>21</v>
      </c>
      <c r="N475" s="363">
        <f t="shared" si="1072"/>
        <v>-3</v>
      </c>
      <c r="O475" s="363">
        <f t="shared" si="1072"/>
        <v>-1</v>
      </c>
      <c r="P475" s="363">
        <f t="shared" si="1072"/>
        <v>18</v>
      </c>
      <c r="Q475" s="1134">
        <f t="shared" si="1073"/>
        <v>35</v>
      </c>
      <c r="R475" s="363">
        <f t="shared" si="1073"/>
        <v>-13</v>
      </c>
      <c r="S475" s="363">
        <f t="shared" si="1074"/>
        <v>-13</v>
      </c>
      <c r="T475" s="363">
        <f t="shared" si="1074"/>
        <v>-13</v>
      </c>
      <c r="U475" s="363">
        <f t="shared" si="1074"/>
        <v>19</v>
      </c>
      <c r="V475" s="1134">
        <f t="shared" si="1075"/>
        <v>-20</v>
      </c>
      <c r="W475" s="363">
        <f t="shared" si="1075"/>
        <v>9</v>
      </c>
      <c r="X475" s="363">
        <f t="shared" si="1076"/>
        <v>-13</v>
      </c>
      <c r="Y475" s="363">
        <f t="shared" si="1076"/>
        <v>4</v>
      </c>
      <c r="Z475" s="363">
        <f t="shared" si="1076"/>
        <v>37</v>
      </c>
      <c r="AA475" s="1134">
        <f t="shared" si="1077"/>
        <v>37</v>
      </c>
      <c r="AB475" s="363">
        <f t="shared" si="1077"/>
        <v>-20</v>
      </c>
      <c r="AC475" s="363">
        <f t="shared" si="1078"/>
        <v>-33</v>
      </c>
      <c r="AD475" s="363">
        <f t="shared" si="1078"/>
        <v>-22</v>
      </c>
      <c r="AE475" s="363">
        <f t="shared" si="1078"/>
        <v>-7</v>
      </c>
      <c r="AF475" s="1134">
        <f t="shared" si="1079"/>
        <v>-82</v>
      </c>
      <c r="AG475" s="363">
        <f t="shared" si="1079"/>
        <v>-13</v>
      </c>
      <c r="AH475" s="363">
        <f t="shared" si="1080"/>
        <v>-30</v>
      </c>
      <c r="AI475" s="363">
        <f t="shared" si="1080"/>
        <v>-45</v>
      </c>
      <c r="AJ475" s="363">
        <f t="shared" si="1080"/>
        <v>-22</v>
      </c>
      <c r="AK475" s="1134">
        <f t="shared" si="1081"/>
        <v>-110</v>
      </c>
      <c r="AL475" s="363">
        <f t="shared" si="1081"/>
        <v>8</v>
      </c>
      <c r="AM475" s="363">
        <f t="shared" si="1082"/>
        <v>55</v>
      </c>
      <c r="AN475" s="363">
        <f t="shared" si="1082"/>
        <v>-52</v>
      </c>
      <c r="AO475" s="363">
        <f t="shared" si="1082"/>
        <v>23</v>
      </c>
      <c r="AP475" s="1134">
        <f t="shared" si="1083"/>
        <v>34</v>
      </c>
      <c r="AQ475" s="363">
        <f t="shared" si="1083"/>
        <v>-169</v>
      </c>
      <c r="AR475" s="363">
        <f t="shared" si="1084"/>
        <v>-127</v>
      </c>
      <c r="AS475" s="363">
        <f t="shared" si="1084"/>
        <v>-45</v>
      </c>
      <c r="AT475" s="363">
        <f t="shared" si="1084"/>
        <v>-75</v>
      </c>
      <c r="AU475" s="1134">
        <f t="shared" si="1085"/>
        <v>-416</v>
      </c>
      <c r="AV475" s="363">
        <f t="shared" si="1085"/>
        <v>-124</v>
      </c>
      <c r="AW475" s="363">
        <f t="shared" si="1086"/>
        <v>-4</v>
      </c>
      <c r="AX475" s="363">
        <f t="shared" si="1086"/>
        <v>-2</v>
      </c>
      <c r="AY475" s="363">
        <f t="shared" si="1086"/>
        <v>-9</v>
      </c>
      <c r="AZ475" s="1134">
        <f t="shared" si="1087"/>
        <v>-139</v>
      </c>
      <c r="BA475" s="363">
        <f t="shared" si="1087"/>
        <v>-44</v>
      </c>
      <c r="BB475" s="363">
        <f t="shared" si="1088"/>
        <v>-27</v>
      </c>
      <c r="BC475" s="363">
        <f t="shared" si="1088"/>
        <v>18</v>
      </c>
      <c r="BD475" s="363">
        <f t="shared" si="1089"/>
        <v>27</v>
      </c>
      <c r="BE475" s="1134">
        <f t="shared" si="1051"/>
        <v>-26</v>
      </c>
      <c r="BF475" s="363">
        <f t="shared" si="1099" ref="BF475">BF407</f>
        <v>-15</v>
      </c>
      <c r="BG475" s="363">
        <f t="shared" si="1052"/>
        <v>-7</v>
      </c>
      <c r="BH475" s="773">
        <f t="shared" si="1091"/>
        <v>-23</v>
      </c>
      <c r="BI475" s="363"/>
      <c r="BJ475" s="1134">
        <f t="shared" si="1092"/>
        <v>-45</v>
      </c>
      <c r="BK475" s="363"/>
      <c r="BL475" s="363"/>
      <c r="BM475" s="363"/>
      <c r="BN475" s="363"/>
      <c r="BO475" s="1134">
        <f t="shared" si="1093"/>
        <v>0</v>
      </c>
      <c r="BP475" s="1134"/>
      <c r="BQ475" s="1134"/>
      <c r="BR475" s="1134"/>
      <c r="BS475" s="119"/>
    </row>
    <row r="476" spans="1:71" s="681" customFormat="1" ht="15">
      <c r="A476" s="607" t="str">
        <f t="shared" si="1029"/>
        <v>Net CFO</v>
      </c>
      <c r="B476" s="516"/>
      <c r="C476" s="1139">
        <f t="shared" si="1100" ref="C476:AK476">SUM(C468:C475)</f>
        <v>915</v>
      </c>
      <c r="D476" s="1139">
        <f t="shared" si="1100"/>
        <v>864</v>
      </c>
      <c r="E476" s="1139">
        <f t="shared" si="1100"/>
        <v>667</v>
      </c>
      <c r="F476" s="1139">
        <f t="shared" si="1100"/>
        <v>817</v>
      </c>
      <c r="G476" s="1139">
        <f t="shared" si="1100"/>
        <v>760</v>
      </c>
      <c r="H476" s="596">
        <f t="shared" si="1100"/>
        <v>204</v>
      </c>
      <c r="I476" s="596">
        <f t="shared" si="1100"/>
        <v>295</v>
      </c>
      <c r="J476" s="596">
        <f t="shared" si="1100"/>
        <v>175</v>
      </c>
      <c r="K476" s="596">
        <f t="shared" si="1100"/>
        <v>548</v>
      </c>
      <c r="L476" s="1139">
        <f t="shared" si="1100"/>
        <v>1222</v>
      </c>
      <c r="M476" s="596">
        <f t="shared" si="1100"/>
        <v>397</v>
      </c>
      <c r="N476" s="596">
        <f t="shared" si="1100"/>
        <v>179</v>
      </c>
      <c r="O476" s="596">
        <f t="shared" si="1100"/>
        <v>331</v>
      </c>
      <c r="P476" s="596">
        <f t="shared" si="1100"/>
        <v>446</v>
      </c>
      <c r="Q476" s="1139">
        <f t="shared" si="1100"/>
        <v>1353</v>
      </c>
      <c r="R476" s="596">
        <f t="shared" si="1100"/>
        <v>408</v>
      </c>
      <c r="S476" s="596">
        <f t="shared" si="1100"/>
        <v>18</v>
      </c>
      <c r="T476" s="596">
        <f t="shared" si="1100"/>
        <v>247</v>
      </c>
      <c r="U476" s="596">
        <f t="shared" si="1100"/>
        <v>477</v>
      </c>
      <c r="V476" s="1139">
        <f t="shared" si="1100"/>
        <v>1150</v>
      </c>
      <c r="W476" s="596">
        <f t="shared" si="1100"/>
        <v>-76</v>
      </c>
      <c r="X476" s="596">
        <f t="shared" si="1100"/>
        <v>650</v>
      </c>
      <c r="Y476" s="596">
        <f t="shared" si="1100"/>
        <v>419</v>
      </c>
      <c r="Z476" s="596">
        <f t="shared" si="1100"/>
        <v>811</v>
      </c>
      <c r="AA476" s="1139">
        <f t="shared" si="1100"/>
        <v>1804</v>
      </c>
      <c r="AB476" s="596">
        <f t="shared" si="1100"/>
        <v>391</v>
      </c>
      <c r="AC476" s="596">
        <f t="shared" si="1100"/>
        <v>432</v>
      </c>
      <c r="AD476" s="596">
        <f t="shared" si="1100"/>
        <v>454</v>
      </c>
      <c r="AE476" s="596">
        <f t="shared" si="1100"/>
        <v>806</v>
      </c>
      <c r="AF476" s="1139">
        <f t="shared" si="1100"/>
        <v>2083</v>
      </c>
      <c r="AG476" s="596">
        <f t="shared" si="1100"/>
        <v>454</v>
      </c>
      <c r="AH476" s="596">
        <f t="shared" si="1100"/>
        <v>423</v>
      </c>
      <c r="AI476" s="596">
        <f t="shared" si="1100"/>
        <v>814</v>
      </c>
      <c r="AJ476" s="596">
        <f t="shared" si="1100"/>
        <v>765</v>
      </c>
      <c r="AK476" s="1139">
        <f t="shared" si="1100"/>
        <v>2456</v>
      </c>
      <c r="AL476" s="596">
        <f t="shared" si="1101" ref="AL476:AQ476">SUM(AL468:AL475)</f>
        <v>532</v>
      </c>
      <c r="AM476" s="596">
        <f t="shared" si="1101"/>
        <v>555</v>
      </c>
      <c r="AN476" s="596">
        <f t="shared" si="1101"/>
        <v>609</v>
      </c>
      <c r="AO476" s="596">
        <f t="shared" si="1101"/>
        <v>487</v>
      </c>
      <c r="AP476" s="1139">
        <f t="shared" si="1101"/>
        <v>2183</v>
      </c>
      <c r="AQ476" s="596">
        <f t="shared" si="1101"/>
        <v>627</v>
      </c>
      <c r="AR476" s="596">
        <f t="shared" si="1102" ref="AR476:AZ476">SUM(AR468:AR475)</f>
        <v>343</v>
      </c>
      <c r="AS476" s="596">
        <f t="shared" si="1102"/>
        <v>455</v>
      </c>
      <c r="AT476" s="596">
        <f t="shared" si="1102"/>
        <v>289</v>
      </c>
      <c r="AU476" s="1139">
        <f t="shared" si="1102"/>
        <v>1714</v>
      </c>
      <c r="AV476" s="596">
        <f t="shared" si="1102"/>
        <v>503</v>
      </c>
      <c r="AW476" s="596">
        <f t="shared" si="1102"/>
        <v>11</v>
      </c>
      <c r="AX476" s="596">
        <f t="shared" si="1102"/>
        <v>529</v>
      </c>
      <c r="AY476" s="596">
        <f t="shared" si="1102"/>
        <v>110</v>
      </c>
      <c r="AZ476" s="1139">
        <f t="shared" si="1102"/>
        <v>1153</v>
      </c>
      <c r="BA476" s="596">
        <f t="shared" si="1103" ref="BA476:BB476">SUM(BA468:BA475)</f>
        <v>403</v>
      </c>
      <c r="BB476" s="596">
        <f t="shared" si="1103"/>
        <v>115</v>
      </c>
      <c r="BC476" s="596">
        <f>SUM(BC468:BC475)</f>
        <v>696</v>
      </c>
      <c r="BD476" s="596">
        <f t="shared" si="1104" ref="BD476:BJ476">SUM(BD468:BD475)</f>
        <v>756</v>
      </c>
      <c r="BE476" s="1139">
        <f t="shared" si="1104"/>
        <v>1970</v>
      </c>
      <c r="BF476" s="596">
        <f>SUM(BF468:BF475)</f>
        <v>107</v>
      </c>
      <c r="BG476" s="596">
        <f>SUM(BG468:BG475)</f>
        <v>-88</v>
      </c>
      <c r="BH476" s="901">
        <f>SUM(BH468:BH475)</f>
        <v>459</v>
      </c>
      <c r="BI476" s="596">
        <f>SUM(BI468:BI475)</f>
        <v>572.16651633364199</v>
      </c>
      <c r="BJ476" s="1139">
        <f t="shared" si="1104"/>
        <v>1050.166516333642</v>
      </c>
      <c r="BK476" s="596">
        <f t="shared" si="1105" ref="BK476:BR476">SUM(BK468:BK475)</f>
        <v>621.22949584277626</v>
      </c>
      <c r="BL476" s="596">
        <f t="shared" si="1105"/>
        <v>611.1556893288714</v>
      </c>
      <c r="BM476" s="596">
        <f t="shared" si="1105"/>
        <v>667.20618824956364</v>
      </c>
      <c r="BN476" s="596">
        <f t="shared" si="1105"/>
        <v>657.319169325188</v>
      </c>
      <c r="BO476" s="1139">
        <f t="shared" si="1105"/>
        <v>2556.9105427463992</v>
      </c>
      <c r="BP476" s="1139">
        <f t="shared" si="1105"/>
        <v>2819.1508854306385</v>
      </c>
      <c r="BQ476" s="1139">
        <f t="shared" si="1105"/>
        <v>3648.3278773773018</v>
      </c>
      <c r="BR476" s="1139">
        <f t="shared" si="1105"/>
        <v>3810.4226038437359</v>
      </c>
      <c r="BS476" s="124"/>
    </row>
    <row r="477" spans="1:71" s="681" customFormat="1" ht="15">
      <c r="A477" s="485"/>
      <c r="B477" s="509"/>
      <c r="C477" s="1147"/>
      <c r="D477" s="1147"/>
      <c r="E477" s="1147"/>
      <c r="F477" s="1147"/>
      <c r="G477" s="1147"/>
      <c r="H477" s="426"/>
      <c r="I477" s="426"/>
      <c r="J477" s="426"/>
      <c r="K477" s="426"/>
      <c r="L477" s="1147"/>
      <c r="M477" s="426"/>
      <c r="N477" s="426"/>
      <c r="O477" s="426"/>
      <c r="P477" s="426"/>
      <c r="Q477" s="1147"/>
      <c r="R477" s="426"/>
      <c r="S477" s="426"/>
      <c r="T477" s="426"/>
      <c r="U477" s="426"/>
      <c r="V477" s="1147"/>
      <c r="W477" s="426"/>
      <c r="X477" s="426"/>
      <c r="Y477" s="426"/>
      <c r="Z477" s="426"/>
      <c r="AA477" s="1147"/>
      <c r="AB477" s="426"/>
      <c r="AC477" s="426"/>
      <c r="AD477" s="426"/>
      <c r="AE477" s="426"/>
      <c r="AF477" s="1147"/>
      <c r="AG477" s="426"/>
      <c r="AH477" s="426"/>
      <c r="AI477" s="426"/>
      <c r="AJ477" s="426"/>
      <c r="AK477" s="1147"/>
      <c r="AL477" s="426"/>
      <c r="AM477" s="426"/>
      <c r="AN477" s="426"/>
      <c r="AO477" s="426"/>
      <c r="AP477" s="1147"/>
      <c r="AQ477" s="426"/>
      <c r="AR477" s="426"/>
      <c r="AS477" s="426"/>
      <c r="AT477" s="426"/>
      <c r="AU477" s="1147"/>
      <c r="AV477" s="426"/>
      <c r="AW477" s="426"/>
      <c r="AX477" s="426"/>
      <c r="AY477" s="426"/>
      <c r="AZ477" s="1147"/>
      <c r="BA477" s="426"/>
      <c r="BB477" s="426"/>
      <c r="BC477" s="426"/>
      <c r="BD477" s="426"/>
      <c r="BE477" s="1147"/>
      <c r="BF477" s="426"/>
      <c r="BG477" s="426"/>
      <c r="BH477" s="487"/>
      <c r="BI477" s="159"/>
      <c r="BJ477" s="1148"/>
      <c r="BK477" s="159"/>
      <c r="BL477" s="159"/>
      <c r="BM477" s="159"/>
      <c r="BN477" s="159"/>
      <c r="BO477" s="1148"/>
      <c r="BP477" s="1147"/>
      <c r="BQ477" s="1147"/>
      <c r="BR477" s="1148"/>
      <c r="BS477" s="124"/>
    </row>
    <row r="478" spans="1:71" s="681" customFormat="1" ht="15">
      <c r="A478" s="485" t="str">
        <f t="shared" si="1106" ref="A478:A497">A410</f>
        <v>CFI</v>
      </c>
      <c r="B478" s="509"/>
      <c r="C478" s="1147"/>
      <c r="D478" s="1147"/>
      <c r="E478" s="1147"/>
      <c r="F478" s="1147"/>
      <c r="G478" s="1147"/>
      <c r="H478" s="426"/>
      <c r="I478" s="426"/>
      <c r="J478" s="426"/>
      <c r="K478" s="426"/>
      <c r="L478" s="1147"/>
      <c r="M478" s="426"/>
      <c r="N478" s="426"/>
      <c r="O478" s="426"/>
      <c r="P478" s="426"/>
      <c r="Q478" s="1147"/>
      <c r="R478" s="426"/>
      <c r="S478" s="426"/>
      <c r="T478" s="426"/>
      <c r="U478" s="426"/>
      <c r="V478" s="1147"/>
      <c r="W478" s="426"/>
      <c r="X478" s="426"/>
      <c r="Y478" s="426"/>
      <c r="Z478" s="426"/>
      <c r="AA478" s="1147"/>
      <c r="AB478" s="426"/>
      <c r="AC478" s="426"/>
      <c r="AD478" s="426"/>
      <c r="AE478" s="426"/>
      <c r="AF478" s="1147"/>
      <c r="AG478" s="426"/>
      <c r="AH478" s="426"/>
      <c r="AI478" s="426"/>
      <c r="AJ478" s="426"/>
      <c r="AK478" s="1147"/>
      <c r="AL478" s="426"/>
      <c r="AM478" s="426"/>
      <c r="AN478" s="426"/>
      <c r="AO478" s="426"/>
      <c r="AP478" s="1147"/>
      <c r="AQ478" s="426"/>
      <c r="AR478" s="426"/>
      <c r="AS478" s="426"/>
      <c r="AT478" s="426"/>
      <c r="AU478" s="1147"/>
      <c r="AV478" s="426"/>
      <c r="AW478" s="426"/>
      <c r="AX478" s="426"/>
      <c r="AY478" s="426"/>
      <c r="AZ478" s="1147"/>
      <c r="BA478" s="426"/>
      <c r="BB478" s="426"/>
      <c r="BC478" s="426"/>
      <c r="BD478" s="426"/>
      <c r="BE478" s="1147"/>
      <c r="BF478" s="426"/>
      <c r="BG478" s="426"/>
      <c r="BH478" s="487"/>
      <c r="BI478" s="159"/>
      <c r="BJ478" s="1148"/>
      <c r="BK478" s="159"/>
      <c r="BL478" s="159"/>
      <c r="BM478" s="159"/>
      <c r="BN478" s="159"/>
      <c r="BO478" s="1148"/>
      <c r="BP478" s="1147"/>
      <c r="BQ478" s="1147"/>
      <c r="BR478" s="1148"/>
      <c r="BS478" s="124"/>
    </row>
    <row r="479" spans="1:71" s="680" customFormat="1" ht="15">
      <c r="A479" s="420" t="str">
        <f t="shared" si="1106"/>
        <v>Purchases of fixed maturities</v>
      </c>
      <c r="B479" s="417"/>
      <c r="C479" s="1131">
        <f t="shared" si="1107" ref="C479:H488">C411</f>
        <v>-4855</v>
      </c>
      <c r="D479" s="1131">
        <f t="shared" si="1107"/>
        <v>-4979</v>
      </c>
      <c r="E479" s="1131">
        <f t="shared" si="1107"/>
        <v>-5321</v>
      </c>
      <c r="F479" s="1131">
        <f t="shared" si="1107"/>
        <v>-4458</v>
      </c>
      <c r="G479" s="1131">
        <f t="shared" si="1107"/>
        <v>-6690</v>
      </c>
      <c r="H479" s="419">
        <f t="shared" si="1107"/>
        <v>-1355</v>
      </c>
      <c r="I479" s="419">
        <f t="shared" si="1108" ref="I479:K496">I411-H411</f>
        <v>-2071</v>
      </c>
      <c r="J479" s="419">
        <f t="shared" si="1108"/>
        <v>-1932</v>
      </c>
      <c r="K479" s="419">
        <f t="shared" si="1108"/>
        <v>-1488</v>
      </c>
      <c r="L479" s="1131">
        <f t="shared" si="1109" ref="L479:M496">L411</f>
        <v>-6846</v>
      </c>
      <c r="M479" s="419">
        <f t="shared" si="1109"/>
        <v>-1605</v>
      </c>
      <c r="N479" s="419">
        <f t="shared" si="1110" ref="N479:P496">N411-M411</f>
        <v>-2123</v>
      </c>
      <c r="O479" s="419">
        <f t="shared" si="1110"/>
        <v>-1667</v>
      </c>
      <c r="P479" s="419">
        <f t="shared" si="1110"/>
        <v>-1806</v>
      </c>
      <c r="Q479" s="1131">
        <f t="shared" si="1111" ref="Q479:R496">Q411</f>
        <v>-7201</v>
      </c>
      <c r="R479" s="419">
        <f t="shared" si="1111"/>
        <v>-2125</v>
      </c>
      <c r="S479" s="419">
        <f t="shared" si="1112" ref="S479:U496">S411-R411</f>
        <v>-1651</v>
      </c>
      <c r="T479" s="419">
        <f t="shared" si="1112"/>
        <v>-1828</v>
      </c>
      <c r="U479" s="419">
        <f t="shared" si="1112"/>
        <v>-1933</v>
      </c>
      <c r="V479" s="1131">
        <f t="shared" si="1113" ref="V479:W496">V411</f>
        <v>-7537</v>
      </c>
      <c r="W479" s="419">
        <f t="shared" si="1113"/>
        <v>-2879</v>
      </c>
      <c r="X479" s="419">
        <f t="shared" si="1114" ref="X479:Z496">X411-W411</f>
        <v>-2508</v>
      </c>
      <c r="Y479" s="419">
        <f t="shared" si="1114"/>
        <v>-1776</v>
      </c>
      <c r="Z479" s="419">
        <f t="shared" si="1114"/>
        <v>-2322</v>
      </c>
      <c r="AA479" s="1131">
        <f t="shared" si="1115" ref="AA479:AB496">AA411</f>
        <v>-9485</v>
      </c>
      <c r="AB479" s="419">
        <f t="shared" si="1115"/>
        <v>-2464</v>
      </c>
      <c r="AC479" s="419">
        <f t="shared" si="1116" ref="AC479:AE496">AC411-AB411</f>
        <v>-2085</v>
      </c>
      <c r="AD479" s="419">
        <f t="shared" si="1116"/>
        <v>-2151</v>
      </c>
      <c r="AE479" s="419">
        <f t="shared" si="1116"/>
        <v>-3483</v>
      </c>
      <c r="AF479" s="1131">
        <f t="shared" si="1117" ref="AF479:AG496">AF411</f>
        <v>-10183</v>
      </c>
      <c r="AG479" s="419">
        <f t="shared" si="1117"/>
        <v>-1801</v>
      </c>
      <c r="AH479" s="419">
        <f t="shared" si="1118" ref="AH479:AJ496">AH411-AG411</f>
        <v>-1960</v>
      </c>
      <c r="AI479" s="419">
        <f t="shared" si="1118"/>
        <v>-1772</v>
      </c>
      <c r="AJ479" s="419">
        <f t="shared" si="1118"/>
        <v>-2727</v>
      </c>
      <c r="AK479" s="1131">
        <f t="shared" si="1119" ref="AK479:AL496">AK411</f>
        <v>-8260</v>
      </c>
      <c r="AL479" s="419">
        <f t="shared" si="1119"/>
        <v>-4140</v>
      </c>
      <c r="AM479" s="419">
        <f t="shared" si="1120" ref="AM479:AO496">AM411-AL411</f>
        <v>-1981</v>
      </c>
      <c r="AN479" s="419">
        <f t="shared" si="1120"/>
        <v>-1696</v>
      </c>
      <c r="AO479" s="419">
        <f t="shared" si="1120"/>
        <v>-2518</v>
      </c>
      <c r="AP479" s="1131">
        <f t="shared" si="1121" ref="AP479:AQ496">AP411</f>
        <v>-10335</v>
      </c>
      <c r="AQ479" s="419">
        <f t="shared" si="1121"/>
        <v>-3443</v>
      </c>
      <c r="AR479" s="419">
        <f t="shared" si="1122" ref="AR479:AT496">AR411-AQ411</f>
        <v>-2130</v>
      </c>
      <c r="AS479" s="419">
        <f t="shared" si="1122"/>
        <v>-1334</v>
      </c>
      <c r="AT479" s="419">
        <f t="shared" si="1122"/>
        <v>-1071</v>
      </c>
      <c r="AU479" s="1131">
        <f t="shared" si="1123" ref="AU479:AV496">AU411</f>
        <v>-7978</v>
      </c>
      <c r="AV479" s="419">
        <f t="shared" si="1123"/>
        <v>-1682</v>
      </c>
      <c r="AW479" s="419">
        <f t="shared" si="1124" ref="AW479:AY496">AW411-AV411</f>
        <v>-991</v>
      </c>
      <c r="AX479" s="419">
        <f t="shared" si="1124"/>
        <v>-1060</v>
      </c>
      <c r="AY479" s="419">
        <f t="shared" si="1124"/>
        <v>-654</v>
      </c>
      <c r="AZ479" s="1131">
        <f t="shared" si="1125" ref="AZ479:BA496">AZ411</f>
        <v>-4387</v>
      </c>
      <c r="BA479" s="419">
        <f t="shared" si="1125"/>
        <v>-575</v>
      </c>
      <c r="BB479" s="419">
        <f t="shared" si="1126" ref="BB479:BC496">BB411-BA411</f>
        <v>-276</v>
      </c>
      <c r="BC479" s="419">
        <f t="shared" si="1126"/>
        <v>-612</v>
      </c>
      <c r="BD479" s="419">
        <f t="shared" si="1127" ref="BD479:BD496">BD411-BC411</f>
        <v>-542</v>
      </c>
      <c r="BE479" s="1131">
        <f t="shared" si="1128" ref="BE479:BF496">BE411</f>
        <v>-2005</v>
      </c>
      <c r="BF479" s="419">
        <f t="shared" si="1128"/>
        <v>-408</v>
      </c>
      <c r="BG479" s="419">
        <f t="shared" si="1129" ref="BG479:BG496">BG411-BF411</f>
        <v>-413</v>
      </c>
      <c r="BH479" s="464">
        <f t="shared" si="1130" ref="BH479:BH496">BH411-BG411</f>
        <v>-528</v>
      </c>
      <c r="BI479" s="171">
        <f>MIN(-(BI166+BI167-BH166-BH167),0)</f>
        <v>-122.38000000000102</v>
      </c>
      <c r="BJ479" s="1133">
        <f t="shared" si="1131" ref="BJ479:BJ496">SUM(BF479,BG479,BH479,BI479)</f>
        <v>-1471.380000000001</v>
      </c>
      <c r="BK479" s="171">
        <f>MIN(-(BK166+BK167-BJ166-BJ167),0)</f>
        <v>-320.66486338797995</v>
      </c>
      <c r="BL479" s="171">
        <f>MIN(-(BL166+BL167-BK166-BK167),0)</f>
        <v>0</v>
      </c>
      <c r="BM479" s="171">
        <f>MIN(-(BM166+BM167-BL166-BL167),0)</f>
        <v>-42.829999999998257</v>
      </c>
      <c r="BN479" s="171">
        <f>MIN(-(BN166+BN167-BM166-BM167),0)</f>
        <v>-127.91800000000244</v>
      </c>
      <c r="BO479" s="1133">
        <f t="shared" si="1132" ref="BO479:BO496">SUM(BK479,BL479,BM479,BN479)</f>
        <v>-491.41286338798068</v>
      </c>
      <c r="BP479" s="1131">
        <f>MIN(-(BP166+BP167-BO166-BO167),0)</f>
        <v>-317.25547334294527</v>
      </c>
      <c r="BQ479" s="1131">
        <f>MIN(-(BQ166+BQ167-BP166-BP167),0)</f>
        <v>-327.09556449352988</v>
      </c>
      <c r="BR479" s="1133">
        <f>MIN(-(BR166+BR167-BQ166-BQ167),0)</f>
        <v>-337.21308554166046</v>
      </c>
      <c r="BS479" s="119"/>
    </row>
    <row r="480" spans="1:71" s="680" customFormat="1" ht="15">
      <c r="A480" s="420" t="str">
        <f t="shared" si="1106"/>
        <v>Purchases of equity securities</v>
      </c>
      <c r="B480" s="171"/>
      <c r="C480" s="1131">
        <f t="shared" si="1107"/>
        <v>-21</v>
      </c>
      <c r="D480" s="1131">
        <f t="shared" si="1107"/>
        <v>-223</v>
      </c>
      <c r="E480" s="1131">
        <f t="shared" si="1107"/>
        <v>-397</v>
      </c>
      <c r="F480" s="1131">
        <f t="shared" si="1107"/>
        <v>-281</v>
      </c>
      <c r="G480" s="1131">
        <f t="shared" si="1107"/>
        <v>-461</v>
      </c>
      <c r="H480" s="419">
        <f t="shared" si="1107"/>
        <v>-137</v>
      </c>
      <c r="I480" s="419">
        <f t="shared" si="1108"/>
        <v>-137</v>
      </c>
      <c r="J480" s="419">
        <f t="shared" si="1108"/>
        <v>-82</v>
      </c>
      <c r="K480" s="419">
        <f t="shared" si="1108"/>
        <v>-115</v>
      </c>
      <c r="L480" s="1131">
        <f t="shared" si="1109"/>
        <v>-471</v>
      </c>
      <c r="M480" s="419">
        <f t="shared" si="1109"/>
        <v>-79</v>
      </c>
      <c r="N480" s="419">
        <f t="shared" si="1110"/>
        <v>-73</v>
      </c>
      <c r="O480" s="419">
        <f t="shared" si="1110"/>
        <v>-297</v>
      </c>
      <c r="P480" s="419">
        <f t="shared" si="1110"/>
        <v>-121</v>
      </c>
      <c r="Q480" s="1131">
        <f t="shared" si="1111"/>
        <v>-570</v>
      </c>
      <c r="R480" s="419">
        <f t="shared" si="1111"/>
        <v>-74</v>
      </c>
      <c r="S480" s="419">
        <f t="shared" si="1112"/>
        <v>-27</v>
      </c>
      <c r="T480" s="419">
        <f t="shared" si="1112"/>
        <v>-42</v>
      </c>
      <c r="U480" s="419">
        <f t="shared" si="1112"/>
        <v>-64</v>
      </c>
      <c r="V480" s="1131">
        <f t="shared" si="1113"/>
        <v>-207</v>
      </c>
      <c r="W480" s="419">
        <f t="shared" si="1113"/>
        <v>-22</v>
      </c>
      <c r="X480" s="419">
        <f t="shared" si="1114"/>
        <v>-22</v>
      </c>
      <c r="Y480" s="419">
        <f t="shared" si="1114"/>
        <v>-29</v>
      </c>
      <c r="Z480" s="419">
        <f t="shared" si="1114"/>
        <v>-109</v>
      </c>
      <c r="AA480" s="1131">
        <f t="shared" si="1115"/>
        <v>-182</v>
      </c>
      <c r="AB480" s="419">
        <f t="shared" si="1115"/>
        <v>-212</v>
      </c>
      <c r="AC480" s="419">
        <f t="shared" si="1116"/>
        <v>-36</v>
      </c>
      <c r="AD480" s="419">
        <f t="shared" si="1116"/>
        <v>-94</v>
      </c>
      <c r="AE480" s="419">
        <f t="shared" si="1116"/>
        <v>-226</v>
      </c>
      <c r="AF480" s="1131">
        <f t="shared" si="1117"/>
        <v>-568</v>
      </c>
      <c r="AG480" s="419">
        <f t="shared" si="1117"/>
        <v>-35</v>
      </c>
      <c r="AH480" s="419">
        <f t="shared" si="1118"/>
        <v>-45</v>
      </c>
      <c r="AI480" s="419">
        <f t="shared" si="1118"/>
        <v>-81</v>
      </c>
      <c r="AJ480" s="419">
        <f t="shared" si="1118"/>
        <v>-81</v>
      </c>
      <c r="AK480" s="1131">
        <f t="shared" si="1119"/>
        <v>-242</v>
      </c>
      <c r="AL480" s="419">
        <f t="shared" si="1119"/>
        <v>-232</v>
      </c>
      <c r="AM480" s="419">
        <f t="shared" si="1120"/>
        <v>-92</v>
      </c>
      <c r="AN480" s="419">
        <f t="shared" si="1120"/>
        <v>-30</v>
      </c>
      <c r="AO480" s="419">
        <f t="shared" si="1120"/>
        <v>-50</v>
      </c>
      <c r="AP480" s="1131">
        <f t="shared" si="1121"/>
        <v>-404</v>
      </c>
      <c r="AQ480" s="419">
        <f t="shared" si="1121"/>
        <v>-41</v>
      </c>
      <c r="AR480" s="419">
        <f t="shared" si="1122"/>
        <v>-25</v>
      </c>
      <c r="AS480" s="419">
        <f t="shared" si="1122"/>
        <v>-44</v>
      </c>
      <c r="AT480" s="419">
        <f t="shared" si="1122"/>
        <v>-83</v>
      </c>
      <c r="AU480" s="1131">
        <f t="shared" si="1123"/>
        <v>-193</v>
      </c>
      <c r="AV480" s="419">
        <f t="shared" si="1123"/>
        <v>-45</v>
      </c>
      <c r="AW480" s="419">
        <f t="shared" si="1124"/>
        <v>-102</v>
      </c>
      <c r="AX480" s="419">
        <f t="shared" si="1124"/>
        <v>-47</v>
      </c>
      <c r="AY480" s="419">
        <f t="shared" si="1124"/>
        <v>-45</v>
      </c>
      <c r="AZ480" s="1131">
        <f t="shared" si="1125"/>
        <v>-239</v>
      </c>
      <c r="BA480" s="419">
        <f t="shared" si="1125"/>
        <v>-41</v>
      </c>
      <c r="BB480" s="419">
        <f t="shared" si="1126"/>
        <v>-35</v>
      </c>
      <c r="BC480" s="419">
        <f t="shared" si="1126"/>
        <v>-25</v>
      </c>
      <c r="BD480" s="419">
        <f t="shared" si="1127"/>
        <v>-45</v>
      </c>
      <c r="BE480" s="1131">
        <f t="shared" si="1128"/>
        <v>-146</v>
      </c>
      <c r="BF480" s="419">
        <f t="shared" si="1128"/>
        <v>-42</v>
      </c>
      <c r="BG480" s="419">
        <f t="shared" si="1129"/>
        <v>-52</v>
      </c>
      <c r="BH480" s="464">
        <f t="shared" si="1130"/>
        <v>-47</v>
      </c>
      <c r="BI480" s="171">
        <f>MIN(-(BI168+BI169-BH168-BH169),0)</f>
        <v>0</v>
      </c>
      <c r="BJ480" s="1133">
        <f t="shared" si="1131"/>
        <v>-141</v>
      </c>
      <c r="BK480" s="171">
        <f>MIN(-(BK168+BK169-BJ168-BJ169),0)</f>
        <v>0</v>
      </c>
      <c r="BL480" s="171">
        <f>MIN(-(BL168+BL169-BK168-BK169),0)</f>
        <v>-28.909999999999968</v>
      </c>
      <c r="BM480" s="171">
        <f>MIN(-(BM168+BM169-BL168-BL169),0)</f>
        <v>-20.090000000000146</v>
      </c>
      <c r="BN480" s="171">
        <f>MIN(-(BN168+BN169-BM168-BM169),0)</f>
        <v>0</v>
      </c>
      <c r="BO480" s="1133">
        <f t="shared" si="1132"/>
        <v>-49.000000000000114</v>
      </c>
      <c r="BP480" s="1131">
        <f>MIN(-(BP168+BP169-BO168-BO169),0)</f>
        <v>0</v>
      </c>
      <c r="BQ480" s="1131">
        <f>MIN(-(BQ168+BQ169-BP168-BP169),0)</f>
        <v>0</v>
      </c>
      <c r="BR480" s="1133">
        <f>MIN(-(BR168+BR169-BQ168-BQ169),0)</f>
        <v>0</v>
      </c>
      <c r="BS480" s="119"/>
    </row>
    <row r="481" spans="1:71" s="680" customFormat="1" ht="15">
      <c r="A481" s="420" t="str">
        <f t="shared" si="1106"/>
        <v>Purchases of mortgage loans</v>
      </c>
      <c r="B481" s="171"/>
      <c r="C481" s="1131">
        <f t="shared" si="1107"/>
        <v>-82</v>
      </c>
      <c r="D481" s="1131">
        <f t="shared" si="1107"/>
        <v>-159</v>
      </c>
      <c r="E481" s="1131">
        <f t="shared" si="1107"/>
        <v>-190</v>
      </c>
      <c r="F481" s="1131">
        <f t="shared" si="1107"/>
        <v>-269</v>
      </c>
      <c r="G481" s="1131">
        <f t="shared" si="1107"/>
        <v>-274</v>
      </c>
      <c r="H481" s="419">
        <f t="shared" si="1107"/>
        <v>-113</v>
      </c>
      <c r="I481" s="419">
        <f t="shared" si="1108"/>
        <v>-67</v>
      </c>
      <c r="J481" s="419">
        <f t="shared" si="1108"/>
        <v>-175</v>
      </c>
      <c r="K481" s="419">
        <f t="shared" si="1108"/>
        <v>-95</v>
      </c>
      <c r="L481" s="1131">
        <f t="shared" si="1109"/>
        <v>-450</v>
      </c>
      <c r="M481" s="419">
        <f t="shared" si="1109"/>
        <v>-31</v>
      </c>
      <c r="N481" s="419">
        <f t="shared" si="1110"/>
        <v>-31</v>
      </c>
      <c r="O481" s="419">
        <f t="shared" si="1110"/>
        <v>-43</v>
      </c>
      <c r="P481" s="419">
        <f t="shared" si="1110"/>
        <v>-108</v>
      </c>
      <c r="Q481" s="1131">
        <f t="shared" si="1111"/>
        <v>-213</v>
      </c>
      <c r="R481" s="419">
        <f t="shared" si="1111"/>
        <v>-131</v>
      </c>
      <c r="S481" s="419">
        <f t="shared" si="1112"/>
        <v>-124</v>
      </c>
      <c r="T481" s="419">
        <f t="shared" si="1112"/>
        <v>-55</v>
      </c>
      <c r="U481" s="419">
        <f t="shared" si="1112"/>
        <v>-31</v>
      </c>
      <c r="V481" s="1131">
        <f t="shared" si="1113"/>
        <v>-341</v>
      </c>
      <c r="W481" s="419">
        <f t="shared" si="1113"/>
        <v>-23</v>
      </c>
      <c r="X481" s="419">
        <f t="shared" si="1114"/>
        <v>-123</v>
      </c>
      <c r="Y481" s="419">
        <f t="shared" si="1114"/>
        <v>-3</v>
      </c>
      <c r="Z481" s="419">
        <f t="shared" si="1114"/>
        <v>-105</v>
      </c>
      <c r="AA481" s="1131">
        <f t="shared" si="1115"/>
        <v>-254</v>
      </c>
      <c r="AB481" s="419">
        <f t="shared" si="1115"/>
        <v>0</v>
      </c>
      <c r="AC481" s="419">
        <f t="shared" si="1116"/>
        <v>-90</v>
      </c>
      <c r="AD481" s="419">
        <f t="shared" si="1116"/>
        <v>-22</v>
      </c>
      <c r="AE481" s="419">
        <f t="shared" si="1116"/>
        <v>-55</v>
      </c>
      <c r="AF481" s="1131">
        <f t="shared" si="1117"/>
        <v>-167</v>
      </c>
      <c r="AG481" s="419">
        <f t="shared" si="1117"/>
        <v>-38</v>
      </c>
      <c r="AH481" s="419">
        <f t="shared" si="1118"/>
        <v>-5</v>
      </c>
      <c r="AI481" s="419">
        <f t="shared" si="1118"/>
        <v>-138</v>
      </c>
      <c r="AJ481" s="419">
        <f t="shared" si="1118"/>
        <v>-261</v>
      </c>
      <c r="AK481" s="1131">
        <f t="shared" si="1119"/>
        <v>-442</v>
      </c>
      <c r="AL481" s="419">
        <f t="shared" si="1119"/>
        <v>-21</v>
      </c>
      <c r="AM481" s="419">
        <f t="shared" si="1120"/>
        <v>-131</v>
      </c>
      <c r="AN481" s="419">
        <f t="shared" si="1120"/>
        <v>-45</v>
      </c>
      <c r="AO481" s="419">
        <f t="shared" si="1120"/>
        <v>-175</v>
      </c>
      <c r="AP481" s="1131">
        <f t="shared" si="1121"/>
        <v>-372</v>
      </c>
      <c r="AQ481" s="419">
        <f t="shared" si="1121"/>
        <v>-35</v>
      </c>
      <c r="AR481" s="419">
        <f t="shared" si="1122"/>
        <v>-55</v>
      </c>
      <c r="AS481" s="419">
        <f t="shared" si="1122"/>
        <v>-89</v>
      </c>
      <c r="AT481" s="419">
        <f t="shared" si="1122"/>
        <v>-39</v>
      </c>
      <c r="AU481" s="1131">
        <f t="shared" si="1123"/>
        <v>-218</v>
      </c>
      <c r="AV481" s="419">
        <f t="shared" si="1123"/>
        <v>-265</v>
      </c>
      <c r="AW481" s="419">
        <f t="shared" si="1124"/>
        <v>-6</v>
      </c>
      <c r="AX481" s="419">
        <f t="shared" si="1124"/>
        <v>-2</v>
      </c>
      <c r="AY481" s="419">
        <f t="shared" si="1124"/>
        <v>0</v>
      </c>
      <c r="AZ481" s="1131">
        <f t="shared" si="1125"/>
        <v>-273</v>
      </c>
      <c r="BA481" s="419">
        <f t="shared" si="1125"/>
        <v>0</v>
      </c>
      <c r="BB481" s="419">
        <f t="shared" si="1126"/>
        <v>0</v>
      </c>
      <c r="BC481" s="419">
        <f t="shared" si="1126"/>
        <v>0</v>
      </c>
      <c r="BD481" s="419">
        <f t="shared" si="1127"/>
        <v>0</v>
      </c>
      <c r="BE481" s="1131">
        <f t="shared" si="1128"/>
        <v>0</v>
      </c>
      <c r="BF481" s="419">
        <f t="shared" si="1128"/>
        <v>-89</v>
      </c>
      <c r="BG481" s="419">
        <f t="shared" si="1129"/>
        <v>-52</v>
      </c>
      <c r="BH481" s="464">
        <f t="shared" si="1130"/>
        <v>0</v>
      </c>
      <c r="BI481" s="171">
        <f>MIN(-(BI171+BI172-BH172-BH171),0)</f>
        <v>0</v>
      </c>
      <c r="BJ481" s="1133">
        <f t="shared" si="1131"/>
        <v>-141</v>
      </c>
      <c r="BK481" s="171">
        <f>MIN(-(BK171+BK172-BJ172-BJ171),0)</f>
        <v>0</v>
      </c>
      <c r="BL481" s="171">
        <f>MIN(-(BL171+BL172-BK172-BK171),0)</f>
        <v>-61.75</v>
      </c>
      <c r="BM481" s="171">
        <f>MIN(-(BM171+BM172-BL172-BL171),0)</f>
        <v>-20.424999999999955</v>
      </c>
      <c r="BN481" s="171">
        <f>MIN(-(BN171+BN172-BM172-BM171),0)</f>
        <v>0</v>
      </c>
      <c r="BO481" s="1133">
        <f t="shared" si="1132"/>
        <v>-82.174999999999955</v>
      </c>
      <c r="BP481" s="1131">
        <f>MIN(-(BP171+BP172-BO172-BO171),0)</f>
        <v>0</v>
      </c>
      <c r="BQ481" s="1131">
        <f>MIN(-(BQ171+BQ172-BP172-BP171),0)</f>
        <v>0</v>
      </c>
      <c r="BR481" s="1133">
        <f>MIN(-(BR171+BR172-BQ172-BQ171),0)</f>
        <v>0</v>
      </c>
      <c r="BS481" s="119"/>
    </row>
    <row r="482" spans="1:71" s="680" customFormat="1" ht="15">
      <c r="A482" s="420" t="str">
        <f t="shared" si="1106"/>
        <v>Purchases of equity index call options and other investments</v>
      </c>
      <c r="B482" s="171"/>
      <c r="C482" s="1131">
        <f t="shared" si="1107"/>
        <v>0</v>
      </c>
      <c r="D482" s="1131">
        <f t="shared" si="1107"/>
        <v>0</v>
      </c>
      <c r="E482" s="1131">
        <f t="shared" si="1107"/>
        <v>0</v>
      </c>
      <c r="F482" s="1131">
        <f t="shared" si="1107"/>
        <v>0</v>
      </c>
      <c r="G482" s="1131">
        <f t="shared" si="1107"/>
        <v>0</v>
      </c>
      <c r="H482" s="419">
        <f t="shared" si="1107"/>
        <v>0</v>
      </c>
      <c r="I482" s="419">
        <f t="shared" si="1108"/>
        <v>0</v>
      </c>
      <c r="J482" s="419">
        <f t="shared" si="1108"/>
        <v>0</v>
      </c>
      <c r="K482" s="419">
        <f t="shared" si="1108"/>
        <v>0</v>
      </c>
      <c r="L482" s="1131">
        <f t="shared" si="1109"/>
        <v>0</v>
      </c>
      <c r="M482" s="419">
        <f t="shared" si="1109"/>
        <v>0</v>
      </c>
      <c r="N482" s="419">
        <f t="shared" si="1110"/>
        <v>0</v>
      </c>
      <c r="O482" s="419">
        <f t="shared" si="1110"/>
        <v>0</v>
      </c>
      <c r="P482" s="419">
        <f t="shared" si="1110"/>
        <v>-534</v>
      </c>
      <c r="Q482" s="1131">
        <f t="shared" si="1111"/>
        <v>-534</v>
      </c>
      <c r="R482" s="419">
        <f t="shared" si="1111"/>
        <v>-139</v>
      </c>
      <c r="S482" s="419">
        <f t="shared" si="1112"/>
        <v>139</v>
      </c>
      <c r="T482" s="419">
        <f t="shared" si="1112"/>
        <v>0</v>
      </c>
      <c r="U482" s="419">
        <f t="shared" si="1112"/>
        <v>-738</v>
      </c>
      <c r="V482" s="1131">
        <f t="shared" si="1113"/>
        <v>-738</v>
      </c>
      <c r="W482" s="419">
        <f t="shared" si="1113"/>
        <v>-181</v>
      </c>
      <c r="X482" s="419">
        <f t="shared" si="1114"/>
        <v>-179</v>
      </c>
      <c r="Y482" s="419">
        <f t="shared" si="1114"/>
        <v>-234</v>
      </c>
      <c r="Z482" s="419">
        <f t="shared" si="1114"/>
        <v>-237</v>
      </c>
      <c r="AA482" s="1131">
        <f t="shared" si="1115"/>
        <v>-831</v>
      </c>
      <c r="AB482" s="419">
        <f t="shared" si="1115"/>
        <v>-195</v>
      </c>
      <c r="AC482" s="419">
        <f t="shared" si="1116"/>
        <v>-251</v>
      </c>
      <c r="AD482" s="419">
        <f t="shared" si="1116"/>
        <v>-249</v>
      </c>
      <c r="AE482" s="419">
        <f t="shared" si="1116"/>
        <v>-278</v>
      </c>
      <c r="AF482" s="1131">
        <f t="shared" si="1117"/>
        <v>-973</v>
      </c>
      <c r="AG482" s="419">
        <f t="shared" si="1117"/>
        <v>-220</v>
      </c>
      <c r="AH482" s="419">
        <f t="shared" si="1118"/>
        <v>-247</v>
      </c>
      <c r="AI482" s="419">
        <f t="shared" si="1118"/>
        <v>-191</v>
      </c>
      <c r="AJ482" s="419">
        <f t="shared" si="1118"/>
        <v>-333</v>
      </c>
      <c r="AK482" s="1131">
        <f t="shared" si="1119"/>
        <v>-991</v>
      </c>
      <c r="AL482" s="419">
        <f t="shared" si="1119"/>
        <v>-245</v>
      </c>
      <c r="AM482" s="419">
        <f t="shared" si="1120"/>
        <v>-256</v>
      </c>
      <c r="AN482" s="419">
        <f t="shared" si="1120"/>
        <v>-198</v>
      </c>
      <c r="AO482" s="419">
        <f t="shared" si="1120"/>
        <v>-198</v>
      </c>
      <c r="AP482" s="1131">
        <f t="shared" si="1121"/>
        <v>-897</v>
      </c>
      <c r="AQ482" s="419">
        <f t="shared" si="1121"/>
        <v>-164</v>
      </c>
      <c r="AR482" s="419">
        <f t="shared" si="1122"/>
        <v>-130</v>
      </c>
      <c r="AS482" s="419">
        <f t="shared" si="1122"/>
        <v>-19</v>
      </c>
      <c r="AT482" s="419">
        <f t="shared" si="1122"/>
        <v>-78</v>
      </c>
      <c r="AU482" s="1131">
        <f t="shared" si="1123"/>
        <v>-391</v>
      </c>
      <c r="AV482" s="419">
        <f t="shared" si="1123"/>
        <v>-47</v>
      </c>
      <c r="AW482" s="419">
        <f t="shared" si="1124"/>
        <v>-21</v>
      </c>
      <c r="AX482" s="419">
        <f t="shared" si="1124"/>
        <v>-28</v>
      </c>
      <c r="AY482" s="419">
        <f t="shared" si="1124"/>
        <v>-45</v>
      </c>
      <c r="AZ482" s="1131">
        <f t="shared" si="1125"/>
        <v>-141</v>
      </c>
      <c r="BA482" s="419">
        <f t="shared" si="1125"/>
        <v>-49</v>
      </c>
      <c r="BB482" s="419">
        <f t="shared" si="1126"/>
        <v>-24</v>
      </c>
      <c r="BC482" s="419">
        <f t="shared" si="1126"/>
        <v>-36</v>
      </c>
      <c r="BD482" s="419">
        <f t="shared" si="1127"/>
        <v>-41</v>
      </c>
      <c r="BE482" s="1131">
        <f t="shared" si="1128"/>
        <v>-150</v>
      </c>
      <c r="BF482" s="419">
        <f t="shared" si="1128"/>
        <v>-27</v>
      </c>
      <c r="BG482" s="419">
        <f t="shared" si="1129"/>
        <v>-67</v>
      </c>
      <c r="BH482" s="464">
        <f t="shared" si="1130"/>
        <v>-49</v>
      </c>
      <c r="BI482" s="171">
        <f>MIN(-(BI173-BH173),0)</f>
        <v>0</v>
      </c>
      <c r="BJ482" s="1133">
        <f t="shared" si="1131"/>
        <v>-143</v>
      </c>
      <c r="BK482" s="171">
        <f t="shared" si="1133" ref="BK482:BN483">MIN(-(BK173-BJ173),0)</f>
        <v>0</v>
      </c>
      <c r="BL482" s="171">
        <f t="shared" si="1133"/>
        <v>0</v>
      </c>
      <c r="BM482" s="171">
        <f t="shared" si="1133"/>
        <v>0</v>
      </c>
      <c r="BN482" s="171">
        <f t="shared" si="1133"/>
        <v>0</v>
      </c>
      <c r="BO482" s="1133">
        <f t="shared" si="1132"/>
        <v>0</v>
      </c>
      <c r="BP482" s="1131">
        <f t="shared" si="1134" ref="BP482:BR483">MIN(-(BP173-BO173),0)</f>
        <v>0</v>
      </c>
      <c r="BQ482" s="1131">
        <f t="shared" si="1134"/>
        <v>0</v>
      </c>
      <c r="BR482" s="1133">
        <f t="shared" si="1134"/>
        <v>0</v>
      </c>
      <c r="BS482" s="119"/>
    </row>
    <row r="483" spans="1:71" s="680" customFormat="1" ht="15">
      <c r="A483" s="420" t="str">
        <f t="shared" si="1106"/>
        <v>Purchases of real estate, property and equipment</v>
      </c>
      <c r="B483" s="171"/>
      <c r="C483" s="1131">
        <f t="shared" si="1107"/>
        <v>-62</v>
      </c>
      <c r="D483" s="1131">
        <f t="shared" si="1107"/>
        <v>-74</v>
      </c>
      <c r="E483" s="1131">
        <f t="shared" si="1107"/>
        <v>-86</v>
      </c>
      <c r="F483" s="1131">
        <f t="shared" si="1107"/>
        <v>-71</v>
      </c>
      <c r="G483" s="1131">
        <f t="shared" si="1107"/>
        <v>-52</v>
      </c>
      <c r="H483" s="419">
        <f t="shared" si="1107"/>
        <v>-14</v>
      </c>
      <c r="I483" s="419">
        <f t="shared" si="1108"/>
        <v>-6</v>
      </c>
      <c r="J483" s="419">
        <f t="shared" si="1108"/>
        <v>-14</v>
      </c>
      <c r="K483" s="419">
        <f t="shared" si="1108"/>
        <v>-13</v>
      </c>
      <c r="L483" s="1131">
        <f t="shared" si="1109"/>
        <v>-47</v>
      </c>
      <c r="M483" s="419">
        <f t="shared" si="1109"/>
        <v>-19</v>
      </c>
      <c r="N483" s="419">
        <f t="shared" si="1110"/>
        <v>-13</v>
      </c>
      <c r="O483" s="419">
        <f t="shared" si="1110"/>
        <v>-33</v>
      </c>
      <c r="P483" s="419">
        <f t="shared" si="1110"/>
        <v>-37</v>
      </c>
      <c r="Q483" s="1131">
        <f t="shared" si="1111"/>
        <v>-102</v>
      </c>
      <c r="R483" s="419">
        <f t="shared" si="1111"/>
        <v>-18</v>
      </c>
      <c r="S483" s="419">
        <f t="shared" si="1112"/>
        <v>-8</v>
      </c>
      <c r="T483" s="419">
        <f t="shared" si="1112"/>
        <v>-11</v>
      </c>
      <c r="U483" s="419">
        <f t="shared" si="1112"/>
        <v>-12</v>
      </c>
      <c r="V483" s="1131">
        <f t="shared" si="1113"/>
        <v>-49</v>
      </c>
      <c r="W483" s="419">
        <f t="shared" si="1113"/>
        <v>-11</v>
      </c>
      <c r="X483" s="419">
        <f t="shared" si="1114"/>
        <v>-19</v>
      </c>
      <c r="Y483" s="419">
        <f t="shared" si="1114"/>
        <v>-16</v>
      </c>
      <c r="Z483" s="419">
        <f t="shared" si="1114"/>
        <v>-63</v>
      </c>
      <c r="AA483" s="1131">
        <f t="shared" si="1115"/>
        <v>-109</v>
      </c>
      <c r="AB483" s="419">
        <f t="shared" si="1115"/>
        <v>-23</v>
      </c>
      <c r="AC483" s="419">
        <f t="shared" si="1116"/>
        <v>-21</v>
      </c>
      <c r="AD483" s="419">
        <f t="shared" si="1116"/>
        <v>-16</v>
      </c>
      <c r="AE483" s="419">
        <f t="shared" si="1116"/>
        <v>-20</v>
      </c>
      <c r="AF483" s="1131">
        <f t="shared" si="1117"/>
        <v>-80</v>
      </c>
      <c r="AG483" s="419">
        <f t="shared" si="1117"/>
        <v>-10</v>
      </c>
      <c r="AH483" s="419">
        <f t="shared" si="1118"/>
        <v>-10</v>
      </c>
      <c r="AI483" s="419">
        <f t="shared" si="1118"/>
        <v>-13</v>
      </c>
      <c r="AJ483" s="419">
        <f t="shared" si="1118"/>
        <v>-11</v>
      </c>
      <c r="AK483" s="1131">
        <f t="shared" si="1119"/>
        <v>-44</v>
      </c>
      <c r="AL483" s="419">
        <f t="shared" si="1119"/>
        <v>-9</v>
      </c>
      <c r="AM483" s="419">
        <f t="shared" si="1120"/>
        <v>-11</v>
      </c>
      <c r="AN483" s="419">
        <f t="shared" si="1120"/>
        <v>-21</v>
      </c>
      <c r="AO483" s="419">
        <f t="shared" si="1120"/>
        <v>-19</v>
      </c>
      <c r="AP483" s="1131">
        <f t="shared" si="1121"/>
        <v>-60</v>
      </c>
      <c r="AQ483" s="419">
        <f t="shared" si="1121"/>
        <v>-13</v>
      </c>
      <c r="AR483" s="419">
        <f t="shared" si="1122"/>
        <v>-13</v>
      </c>
      <c r="AS483" s="419">
        <f t="shared" si="1122"/>
        <v>-27</v>
      </c>
      <c r="AT483" s="419">
        <f t="shared" si="1122"/>
        <v>-9</v>
      </c>
      <c r="AU483" s="1131">
        <f t="shared" si="1123"/>
        <v>-62</v>
      </c>
      <c r="AV483" s="419">
        <f t="shared" si="1123"/>
        <v>-23</v>
      </c>
      <c r="AW483" s="419">
        <f t="shared" si="1124"/>
        <v>-35</v>
      </c>
      <c r="AX483" s="419">
        <f t="shared" si="1124"/>
        <v>-14</v>
      </c>
      <c r="AY483" s="419">
        <f t="shared" si="1124"/>
        <v>-14</v>
      </c>
      <c r="AZ483" s="1131">
        <f t="shared" si="1125"/>
        <v>-86</v>
      </c>
      <c r="BA483" s="419">
        <f t="shared" si="1125"/>
        <v>-13</v>
      </c>
      <c r="BB483" s="419">
        <f t="shared" si="1126"/>
        <v>-20</v>
      </c>
      <c r="BC483" s="419">
        <f t="shared" si="1126"/>
        <v>-7</v>
      </c>
      <c r="BD483" s="419">
        <f t="shared" si="1127"/>
        <v>-32</v>
      </c>
      <c r="BE483" s="1131">
        <f t="shared" si="1128"/>
        <v>-72</v>
      </c>
      <c r="BF483" s="419">
        <f t="shared" si="1128"/>
        <v>-38</v>
      </c>
      <c r="BG483" s="419">
        <f t="shared" si="1129"/>
        <v>-33</v>
      </c>
      <c r="BH483" s="464">
        <f t="shared" si="1130"/>
        <v>-29</v>
      </c>
      <c r="BI483" s="171">
        <f>MIN(-(BI174-BH174),0)</f>
        <v>-2.6499999999999773</v>
      </c>
      <c r="BJ483" s="1133">
        <f t="shared" si="1131"/>
        <v>-102.64999999999998</v>
      </c>
      <c r="BK483" s="171">
        <f t="shared" si="1133"/>
        <v>-6.8942622950819725</v>
      </c>
      <c r="BL483" s="171">
        <f t="shared" si="1133"/>
        <v>-10.349999999999994</v>
      </c>
      <c r="BM483" s="171">
        <f t="shared" si="1133"/>
        <v>-11.50</v>
      </c>
      <c r="BN483" s="171">
        <f t="shared" si="1133"/>
        <v>-3.0474999999999852</v>
      </c>
      <c r="BO483" s="1133">
        <f t="shared" si="1132"/>
        <v>-31.791762295081952</v>
      </c>
      <c r="BP483" s="1131">
        <f t="shared" si="1134"/>
        <v>-24.407001369862996</v>
      </c>
      <c r="BQ483" s="1131">
        <f t="shared" si="1134"/>
        <v>-28.068051575342452</v>
      </c>
      <c r="BR483" s="1133">
        <f t="shared" si="1134"/>
        <v>-32.278259311643808</v>
      </c>
      <c r="BS483" s="119"/>
    </row>
    <row r="484" spans="1:71" s="680" customFormat="1" ht="15">
      <c r="A484" s="420" t="str">
        <f t="shared" si="1106"/>
        <v>Purchases of businesses</v>
      </c>
      <c r="B484" s="171"/>
      <c r="C484" s="1131">
        <f t="shared" si="1107"/>
        <v>-5</v>
      </c>
      <c r="D484" s="1131">
        <f t="shared" si="1107"/>
        <v>-128</v>
      </c>
      <c r="E484" s="1131">
        <f t="shared" si="1107"/>
        <v>0</v>
      </c>
      <c r="F484" s="1131">
        <f t="shared" si="1107"/>
        <v>0</v>
      </c>
      <c r="G484" s="1131">
        <f t="shared" si="1107"/>
        <v>0</v>
      </c>
      <c r="H484" s="419">
        <f t="shared" si="1107"/>
        <v>-8</v>
      </c>
      <c r="I484" s="419">
        <f t="shared" si="1108"/>
        <v>-259</v>
      </c>
      <c r="J484" s="419">
        <f t="shared" si="1108"/>
        <v>0</v>
      </c>
      <c r="K484" s="419">
        <f t="shared" si="1108"/>
        <v>0</v>
      </c>
      <c r="L484" s="1131">
        <f t="shared" si="1109"/>
        <v>-267</v>
      </c>
      <c r="M484" s="419">
        <f t="shared" si="1109"/>
        <v>0</v>
      </c>
      <c r="N484" s="419">
        <f t="shared" si="1110"/>
        <v>0</v>
      </c>
      <c r="O484" s="419">
        <f t="shared" si="1110"/>
        <v>0</v>
      </c>
      <c r="P484" s="419">
        <f t="shared" si="1110"/>
        <v>0</v>
      </c>
      <c r="Q484" s="1131">
        <f t="shared" si="1111"/>
        <v>0</v>
      </c>
      <c r="R484" s="419">
        <f t="shared" si="1111"/>
        <v>0</v>
      </c>
      <c r="S484" s="419">
        <f t="shared" si="1112"/>
        <v>0</v>
      </c>
      <c r="T484" s="419">
        <f t="shared" si="1112"/>
        <v>0</v>
      </c>
      <c r="U484" s="419">
        <f t="shared" si="1112"/>
        <v>0</v>
      </c>
      <c r="V484" s="1131">
        <f t="shared" si="1113"/>
        <v>0</v>
      </c>
      <c r="W484" s="419">
        <f t="shared" si="1113"/>
        <v>0</v>
      </c>
      <c r="X484" s="419">
        <f t="shared" si="1114"/>
        <v>0</v>
      </c>
      <c r="Y484" s="419">
        <f t="shared" si="1114"/>
        <v>0</v>
      </c>
      <c r="Z484" s="419">
        <f t="shared" si="1114"/>
        <v>0</v>
      </c>
      <c r="AA484" s="1131">
        <f t="shared" si="1115"/>
        <v>0</v>
      </c>
      <c r="AB484" s="419">
        <f t="shared" si="1115"/>
        <v>0</v>
      </c>
      <c r="AC484" s="419">
        <f t="shared" si="1116"/>
        <v>0</v>
      </c>
      <c r="AD484" s="419">
        <f t="shared" si="1116"/>
        <v>0</v>
      </c>
      <c r="AE484" s="419">
        <f t="shared" si="1116"/>
        <v>-36</v>
      </c>
      <c r="AF484" s="1131">
        <f t="shared" si="1117"/>
        <v>-36</v>
      </c>
      <c r="AG484" s="419">
        <f t="shared" si="1117"/>
        <v>0</v>
      </c>
      <c r="AH484" s="419">
        <f t="shared" si="1118"/>
        <v>0</v>
      </c>
      <c r="AI484" s="419">
        <f t="shared" si="1118"/>
        <v>0</v>
      </c>
      <c r="AJ484" s="419">
        <f t="shared" si="1118"/>
        <v>0</v>
      </c>
      <c r="AK484" s="1131">
        <f t="shared" si="1119"/>
        <v>0</v>
      </c>
      <c r="AL484" s="419">
        <f t="shared" si="1119"/>
        <v>0</v>
      </c>
      <c r="AM484" s="419">
        <f t="shared" si="1120"/>
        <v>0</v>
      </c>
      <c r="AN484" s="419">
        <f t="shared" si="1120"/>
        <v>0</v>
      </c>
      <c r="AO484" s="419">
        <f t="shared" si="1120"/>
        <v>-3</v>
      </c>
      <c r="AP484" s="1131">
        <f t="shared" si="1121"/>
        <v>-3</v>
      </c>
      <c r="AQ484" s="419">
        <f t="shared" si="1121"/>
        <v>0</v>
      </c>
      <c r="AR484" s="419">
        <f t="shared" si="1122"/>
        <v>0</v>
      </c>
      <c r="AS484" s="419">
        <f t="shared" si="1122"/>
        <v>0</v>
      </c>
      <c r="AT484" s="419">
        <f t="shared" si="1122"/>
        <v>-123</v>
      </c>
      <c r="AU484" s="1131">
        <f t="shared" si="1123"/>
        <v>-123</v>
      </c>
      <c r="AV484" s="419">
        <f t="shared" si="1123"/>
        <v>0</v>
      </c>
      <c r="AW484" s="419">
        <f t="shared" si="1124"/>
        <v>0</v>
      </c>
      <c r="AX484" s="419">
        <f t="shared" si="1124"/>
        <v>-10</v>
      </c>
      <c r="AY484" s="419">
        <f t="shared" si="1124"/>
        <v>0</v>
      </c>
      <c r="AZ484" s="1131">
        <f t="shared" si="1125"/>
        <v>-10</v>
      </c>
      <c r="BA484" s="419">
        <f t="shared" si="1125"/>
        <v>0</v>
      </c>
      <c r="BB484" s="419">
        <f t="shared" si="1126"/>
        <v>0</v>
      </c>
      <c r="BC484" s="419">
        <f t="shared" si="1126"/>
        <v>-234</v>
      </c>
      <c r="BD484" s="419">
        <f t="shared" si="1127"/>
        <v>0</v>
      </c>
      <c r="BE484" s="1131">
        <f t="shared" si="1128"/>
        <v>-234</v>
      </c>
      <c r="BF484" s="419">
        <f t="shared" si="1128"/>
        <v>0</v>
      </c>
      <c r="BG484" s="419">
        <f t="shared" si="1129"/>
        <v>0</v>
      </c>
      <c r="BH484" s="464">
        <f t="shared" si="1130"/>
        <v>0</v>
      </c>
      <c r="BI484" s="171"/>
      <c r="BJ484" s="1133">
        <f t="shared" si="1131"/>
        <v>0</v>
      </c>
      <c r="BK484" s="171"/>
      <c r="BL484" s="171"/>
      <c r="BM484" s="171"/>
      <c r="BN484" s="171"/>
      <c r="BO484" s="1133">
        <f t="shared" si="1132"/>
        <v>0</v>
      </c>
      <c r="BP484" s="1131"/>
      <c r="BQ484" s="1131"/>
      <c r="BR484" s="1133"/>
      <c r="BS484" s="119"/>
    </row>
    <row r="485" spans="1:71" s="680" customFormat="1" ht="15">
      <c r="A485" s="420" t="str">
        <f t="shared" si="1106"/>
        <v>Proceeds from maturities and redemptions of fixed maturities</v>
      </c>
      <c r="B485" s="171"/>
      <c r="C485" s="1131">
        <f t="shared" si="1107"/>
        <v>1934</v>
      </c>
      <c r="D485" s="1131">
        <f t="shared" si="1107"/>
        <v>2081</v>
      </c>
      <c r="E485" s="1131">
        <f t="shared" si="1107"/>
        <v>1974</v>
      </c>
      <c r="F485" s="1131">
        <f t="shared" si="1107"/>
        <v>2262</v>
      </c>
      <c r="G485" s="1131">
        <f t="shared" si="1107"/>
        <v>3236</v>
      </c>
      <c r="H485" s="419">
        <f t="shared" si="1107"/>
        <v>782</v>
      </c>
      <c r="I485" s="419">
        <f t="shared" si="1108"/>
        <v>827</v>
      </c>
      <c r="J485" s="419">
        <f t="shared" si="1108"/>
        <v>643</v>
      </c>
      <c r="K485" s="419">
        <f t="shared" si="1108"/>
        <v>736</v>
      </c>
      <c r="L485" s="1131">
        <f t="shared" si="1109"/>
        <v>2988</v>
      </c>
      <c r="M485" s="419">
        <f t="shared" si="1109"/>
        <v>736</v>
      </c>
      <c r="N485" s="419">
        <f t="shared" si="1110"/>
        <v>952</v>
      </c>
      <c r="O485" s="419">
        <f t="shared" si="1110"/>
        <v>738</v>
      </c>
      <c r="P485" s="419">
        <f t="shared" si="1110"/>
        <v>907</v>
      </c>
      <c r="Q485" s="1131">
        <f t="shared" si="1111"/>
        <v>3333</v>
      </c>
      <c r="R485" s="419">
        <f t="shared" si="1111"/>
        <v>840</v>
      </c>
      <c r="S485" s="419">
        <f t="shared" si="1112"/>
        <v>1233</v>
      </c>
      <c r="T485" s="419">
        <f t="shared" si="1112"/>
        <v>1038</v>
      </c>
      <c r="U485" s="419">
        <f t="shared" si="1112"/>
        <v>1602</v>
      </c>
      <c r="V485" s="1131">
        <f t="shared" si="1113"/>
        <v>4713</v>
      </c>
      <c r="W485" s="419">
        <f t="shared" si="1113"/>
        <v>1511</v>
      </c>
      <c r="X485" s="419">
        <f t="shared" si="1114"/>
        <v>1774</v>
      </c>
      <c r="Y485" s="419">
        <f t="shared" si="1114"/>
        <v>1405</v>
      </c>
      <c r="Z485" s="419">
        <f t="shared" si="1114"/>
        <v>1415</v>
      </c>
      <c r="AA485" s="1131">
        <f t="shared" si="1115"/>
        <v>6105</v>
      </c>
      <c r="AB485" s="419">
        <f t="shared" si="1115"/>
        <v>962</v>
      </c>
      <c r="AC485" s="419">
        <f t="shared" si="1116"/>
        <v>1321</v>
      </c>
      <c r="AD485" s="419">
        <f t="shared" si="1116"/>
        <v>1233</v>
      </c>
      <c r="AE485" s="419">
        <f t="shared" si="1116"/>
        <v>1432</v>
      </c>
      <c r="AF485" s="1131">
        <f t="shared" si="1117"/>
        <v>4948</v>
      </c>
      <c r="AG485" s="419">
        <f t="shared" si="1117"/>
        <v>1032</v>
      </c>
      <c r="AH485" s="419">
        <f t="shared" si="1118"/>
        <v>1315</v>
      </c>
      <c r="AI485" s="419">
        <f t="shared" si="1118"/>
        <v>1064</v>
      </c>
      <c r="AJ485" s="419">
        <f t="shared" si="1118"/>
        <v>1156</v>
      </c>
      <c r="AK485" s="1131">
        <f t="shared" si="1119"/>
        <v>4567</v>
      </c>
      <c r="AL485" s="419">
        <f t="shared" si="1119"/>
        <v>1220</v>
      </c>
      <c r="AM485" s="419">
        <f t="shared" si="1120"/>
        <v>1123</v>
      </c>
      <c r="AN485" s="419">
        <f t="shared" si="1120"/>
        <v>1771</v>
      </c>
      <c r="AO485" s="419">
        <f t="shared" si="1120"/>
        <v>1635</v>
      </c>
      <c r="AP485" s="1131">
        <f t="shared" si="1121"/>
        <v>5749</v>
      </c>
      <c r="AQ485" s="419">
        <f t="shared" si="1121"/>
        <v>1947</v>
      </c>
      <c r="AR485" s="419">
        <f t="shared" si="1122"/>
        <v>1519</v>
      </c>
      <c r="AS485" s="419">
        <f t="shared" si="1122"/>
        <v>609</v>
      </c>
      <c r="AT485" s="419">
        <f t="shared" si="1122"/>
        <v>960</v>
      </c>
      <c r="AU485" s="1131">
        <f t="shared" si="1123"/>
        <v>5035</v>
      </c>
      <c r="AV485" s="419">
        <f t="shared" si="1123"/>
        <v>959</v>
      </c>
      <c r="AW485" s="419">
        <f t="shared" si="1124"/>
        <v>718</v>
      </c>
      <c r="AX485" s="419">
        <f t="shared" si="1124"/>
        <v>449</v>
      </c>
      <c r="AY485" s="419">
        <f t="shared" si="1124"/>
        <v>385</v>
      </c>
      <c r="AZ485" s="1131">
        <f t="shared" si="1125"/>
        <v>2511</v>
      </c>
      <c r="BA485" s="419">
        <f t="shared" si="1125"/>
        <v>381</v>
      </c>
      <c r="BB485" s="419">
        <f t="shared" si="1126"/>
        <v>324</v>
      </c>
      <c r="BC485" s="419">
        <f t="shared" si="1126"/>
        <v>342</v>
      </c>
      <c r="BD485" s="419">
        <f t="shared" si="1127"/>
        <v>263</v>
      </c>
      <c r="BE485" s="1131">
        <f t="shared" si="1128"/>
        <v>1310</v>
      </c>
      <c r="BF485" s="419">
        <f t="shared" si="1128"/>
        <v>378</v>
      </c>
      <c r="BG485" s="419">
        <f t="shared" si="1129"/>
        <v>552</v>
      </c>
      <c r="BH485" s="464">
        <f t="shared" si="1130"/>
        <v>521</v>
      </c>
      <c r="BI485" s="171"/>
      <c r="BJ485" s="1133">
        <f t="shared" si="1131"/>
        <v>1451</v>
      </c>
      <c r="BK485" s="171"/>
      <c r="BL485" s="171"/>
      <c r="BM485" s="171"/>
      <c r="BN485" s="171"/>
      <c r="BO485" s="1133">
        <f t="shared" si="1132"/>
        <v>0</v>
      </c>
      <c r="BP485" s="1131"/>
      <c r="BQ485" s="1131"/>
      <c r="BR485" s="1133"/>
      <c r="BS485" s="119"/>
    </row>
    <row r="486" spans="1:71" s="680" customFormat="1" ht="15">
      <c r="A486" s="420" t="str">
        <f t="shared" si="1106"/>
        <v>Proceeds from repayments of mortgage loans</v>
      </c>
      <c r="B486" s="171"/>
      <c r="C486" s="1131">
        <f t="shared" si="1107"/>
        <v>11</v>
      </c>
      <c r="D486" s="1131">
        <f t="shared" si="1107"/>
        <v>71</v>
      </c>
      <c r="E486" s="1131">
        <f t="shared" si="1107"/>
        <v>269</v>
      </c>
      <c r="F486" s="1131">
        <f t="shared" si="1107"/>
        <v>46</v>
      </c>
      <c r="G486" s="1131">
        <f t="shared" si="1107"/>
        <v>102</v>
      </c>
      <c r="H486" s="419">
        <f t="shared" si="1107"/>
        <v>6</v>
      </c>
      <c r="I486" s="419">
        <f t="shared" si="1108"/>
        <v>35</v>
      </c>
      <c r="J486" s="419">
        <f t="shared" si="1108"/>
        <v>33</v>
      </c>
      <c r="K486" s="419">
        <f t="shared" si="1108"/>
        <v>42</v>
      </c>
      <c r="L486" s="1131">
        <f t="shared" si="1109"/>
        <v>116</v>
      </c>
      <c r="M486" s="419">
        <f t="shared" si="1109"/>
        <v>59</v>
      </c>
      <c r="N486" s="419">
        <f t="shared" si="1110"/>
        <v>68</v>
      </c>
      <c r="O486" s="419">
        <f t="shared" si="1110"/>
        <v>104</v>
      </c>
      <c r="P486" s="419">
        <f t="shared" si="1110"/>
        <v>34</v>
      </c>
      <c r="Q486" s="1131">
        <f t="shared" si="1111"/>
        <v>265</v>
      </c>
      <c r="R486" s="419">
        <f t="shared" si="1111"/>
        <v>101</v>
      </c>
      <c r="S486" s="419">
        <f t="shared" si="1112"/>
        <v>62</v>
      </c>
      <c r="T486" s="419">
        <f t="shared" si="1112"/>
        <v>34</v>
      </c>
      <c r="U486" s="419">
        <f t="shared" si="1112"/>
        <v>65</v>
      </c>
      <c r="V486" s="1131">
        <f t="shared" si="1113"/>
        <v>262</v>
      </c>
      <c r="W486" s="419">
        <f t="shared" si="1113"/>
        <v>12</v>
      </c>
      <c r="X486" s="419">
        <f t="shared" si="1114"/>
        <v>98</v>
      </c>
      <c r="Y486" s="419">
        <f t="shared" si="1114"/>
        <v>81</v>
      </c>
      <c r="Z486" s="419">
        <f t="shared" si="1114"/>
        <v>24</v>
      </c>
      <c r="AA486" s="1131">
        <f t="shared" si="1115"/>
        <v>215</v>
      </c>
      <c r="AB486" s="419">
        <f t="shared" si="1115"/>
        <v>43</v>
      </c>
      <c r="AC486" s="419">
        <f t="shared" si="1116"/>
        <v>25</v>
      </c>
      <c r="AD486" s="419">
        <f t="shared" si="1116"/>
        <v>19</v>
      </c>
      <c r="AE486" s="419">
        <f t="shared" si="1116"/>
        <v>114</v>
      </c>
      <c r="AF486" s="1131">
        <f t="shared" si="1117"/>
        <v>201</v>
      </c>
      <c r="AG486" s="419">
        <f t="shared" si="1117"/>
        <v>29</v>
      </c>
      <c r="AH486" s="419">
        <f t="shared" si="1118"/>
        <v>9</v>
      </c>
      <c r="AI486" s="419">
        <f t="shared" si="1118"/>
        <v>38</v>
      </c>
      <c r="AJ486" s="419">
        <f t="shared" si="1118"/>
        <v>108</v>
      </c>
      <c r="AK486" s="1131">
        <f t="shared" si="1119"/>
        <v>184</v>
      </c>
      <c r="AL486" s="419">
        <f t="shared" si="1119"/>
        <v>4</v>
      </c>
      <c r="AM486" s="419">
        <f t="shared" si="1120"/>
        <v>3</v>
      </c>
      <c r="AN486" s="419">
        <f t="shared" si="1120"/>
        <v>41</v>
      </c>
      <c r="AO486" s="419">
        <f t="shared" si="1120"/>
        <v>36</v>
      </c>
      <c r="AP486" s="1131">
        <f t="shared" si="1121"/>
        <v>84</v>
      </c>
      <c r="AQ486" s="419">
        <f t="shared" si="1121"/>
        <v>12</v>
      </c>
      <c r="AR486" s="419">
        <f t="shared" si="1122"/>
        <v>2</v>
      </c>
      <c r="AS486" s="419">
        <f t="shared" si="1122"/>
        <v>13</v>
      </c>
      <c r="AT486" s="419">
        <f t="shared" si="1122"/>
        <v>57</v>
      </c>
      <c r="AU486" s="1131">
        <f t="shared" si="1123"/>
        <v>84</v>
      </c>
      <c r="AV486" s="419">
        <f t="shared" si="1123"/>
        <v>1</v>
      </c>
      <c r="AW486" s="419">
        <f t="shared" si="1124"/>
        <v>98</v>
      </c>
      <c r="AX486" s="419">
        <f t="shared" si="1124"/>
        <v>18</v>
      </c>
      <c r="AY486" s="419">
        <f t="shared" si="1124"/>
        <v>1</v>
      </c>
      <c r="AZ486" s="1131">
        <f t="shared" si="1125"/>
        <v>118</v>
      </c>
      <c r="BA486" s="419">
        <f t="shared" si="1125"/>
        <v>32</v>
      </c>
      <c r="BB486" s="419">
        <f t="shared" si="1126"/>
        <v>0</v>
      </c>
      <c r="BC486" s="419">
        <f t="shared" si="1126"/>
        <v>1</v>
      </c>
      <c r="BD486" s="419">
        <f t="shared" si="1127"/>
        <v>1</v>
      </c>
      <c r="BE486" s="1131">
        <f t="shared" si="1128"/>
        <v>34</v>
      </c>
      <c r="BF486" s="419">
        <f t="shared" si="1128"/>
        <v>8</v>
      </c>
      <c r="BG486" s="419">
        <f t="shared" si="1129"/>
        <v>1</v>
      </c>
      <c r="BH486" s="464">
        <f t="shared" si="1130"/>
        <v>8</v>
      </c>
      <c r="BI486" s="171">
        <f>MAX(-(BI171+BI172-BH172-BH171),0)</f>
        <v>157.67500000000007</v>
      </c>
      <c r="BJ486" s="1133">
        <f t="shared" si="1131"/>
        <v>174.67500000000007</v>
      </c>
      <c r="BK486" s="171">
        <f>MAX(-(BK171+BK172-BJ172-BJ171),0)</f>
        <v>54.138387978142077</v>
      </c>
      <c r="BL486" s="171">
        <f>MAX(-(BL171+BL172-BK172-BK171),0)</f>
        <v>0</v>
      </c>
      <c r="BM486" s="171">
        <f>MAX(-(BM171+BM172-BL172-BL171),0)</f>
        <v>0</v>
      </c>
      <c r="BN486" s="171">
        <f>MAX(-(BN171+BN172-BM172-BM171),0)</f>
        <v>149.79124999999999</v>
      </c>
      <c r="BO486" s="1133">
        <f t="shared" si="1132"/>
        <v>203.92963797814207</v>
      </c>
      <c r="BP486" s="1131">
        <f>MAX(-(BP171+BP172-BO172-BO171),0)</f>
        <v>33.371990410958915</v>
      </c>
      <c r="BQ486" s="1131">
        <f>MAX(-(BQ171+BQ172-BP172-BP171),0)</f>
        <v>31.703390890411015</v>
      </c>
      <c r="BR486" s="1133">
        <f>MAX(-(BR171+BR172-BQ172-BQ171),0)</f>
        <v>30.118221345890447</v>
      </c>
      <c r="BS486" s="119"/>
    </row>
    <row r="487" spans="1:71" s="680" customFormat="1" ht="15">
      <c r="A487" s="420" t="str">
        <f t="shared" si="1106"/>
        <v>Proceeds from sales of fixed maturities</v>
      </c>
      <c r="B487" s="171"/>
      <c r="C487" s="1131">
        <f t="shared" si="1107"/>
        <v>2207</v>
      </c>
      <c r="D487" s="1131">
        <f t="shared" si="1107"/>
        <v>1540</v>
      </c>
      <c r="E487" s="1131">
        <f t="shared" si="1107"/>
        <v>1293</v>
      </c>
      <c r="F487" s="1131">
        <f t="shared" si="1107"/>
        <v>632</v>
      </c>
      <c r="G487" s="1131">
        <f t="shared" si="1107"/>
        <v>275</v>
      </c>
      <c r="H487" s="419">
        <f t="shared" si="1107"/>
        <v>151</v>
      </c>
      <c r="I487" s="419">
        <f t="shared" si="1108"/>
        <v>32</v>
      </c>
      <c r="J487" s="419">
        <f t="shared" si="1108"/>
        <v>79</v>
      </c>
      <c r="K487" s="419">
        <f t="shared" si="1108"/>
        <v>25</v>
      </c>
      <c r="L487" s="1131">
        <f t="shared" si="1109"/>
        <v>287</v>
      </c>
      <c r="M487" s="419">
        <f t="shared" si="1109"/>
        <v>32</v>
      </c>
      <c r="N487" s="419">
        <f t="shared" si="1110"/>
        <v>199</v>
      </c>
      <c r="O487" s="419">
        <f t="shared" si="1110"/>
        <v>4</v>
      </c>
      <c r="P487" s="419">
        <f t="shared" si="1110"/>
        <v>86</v>
      </c>
      <c r="Q487" s="1131">
        <f t="shared" si="1111"/>
        <v>321</v>
      </c>
      <c r="R487" s="419">
        <f t="shared" si="1111"/>
        <v>225</v>
      </c>
      <c r="S487" s="419">
        <f t="shared" si="1112"/>
        <v>148</v>
      </c>
      <c r="T487" s="419">
        <f t="shared" si="1112"/>
        <v>123</v>
      </c>
      <c r="U487" s="419">
        <f t="shared" si="1112"/>
        <v>145</v>
      </c>
      <c r="V487" s="1131">
        <f t="shared" si="1113"/>
        <v>641</v>
      </c>
      <c r="W487" s="419">
        <f t="shared" si="1113"/>
        <v>38</v>
      </c>
      <c r="X487" s="419">
        <f t="shared" si="1114"/>
        <v>112</v>
      </c>
      <c r="Y487" s="419">
        <f t="shared" si="1114"/>
        <v>29</v>
      </c>
      <c r="Z487" s="419">
        <f t="shared" si="1114"/>
        <v>213</v>
      </c>
      <c r="AA487" s="1131">
        <f t="shared" si="1115"/>
        <v>392</v>
      </c>
      <c r="AB487" s="419">
        <f t="shared" si="1115"/>
        <v>105</v>
      </c>
      <c r="AC487" s="419">
        <f t="shared" si="1116"/>
        <v>98</v>
      </c>
      <c r="AD487" s="419">
        <f t="shared" si="1116"/>
        <v>72</v>
      </c>
      <c r="AE487" s="419">
        <f t="shared" si="1116"/>
        <v>226</v>
      </c>
      <c r="AF487" s="1131">
        <f t="shared" si="1117"/>
        <v>501</v>
      </c>
      <c r="AG487" s="419">
        <f t="shared" si="1117"/>
        <v>201</v>
      </c>
      <c r="AH487" s="419">
        <f t="shared" si="1118"/>
        <v>258</v>
      </c>
      <c r="AI487" s="419">
        <f t="shared" si="1118"/>
        <v>110</v>
      </c>
      <c r="AJ487" s="419">
        <f t="shared" si="1118"/>
        <v>358</v>
      </c>
      <c r="AK487" s="1131">
        <f t="shared" si="1119"/>
        <v>927</v>
      </c>
      <c r="AL487" s="419">
        <f t="shared" si="1119"/>
        <v>1483</v>
      </c>
      <c r="AM487" s="419">
        <f t="shared" si="1120"/>
        <v>1294</v>
      </c>
      <c r="AN487" s="419">
        <f t="shared" si="1120"/>
        <v>346</v>
      </c>
      <c r="AO487" s="419">
        <f t="shared" si="1120"/>
        <v>606</v>
      </c>
      <c r="AP487" s="1131">
        <f t="shared" si="1121"/>
        <v>3729</v>
      </c>
      <c r="AQ487" s="419">
        <f t="shared" si="1121"/>
        <v>147</v>
      </c>
      <c r="AR487" s="419">
        <f t="shared" si="1122"/>
        <v>518</v>
      </c>
      <c r="AS487" s="419">
        <f t="shared" si="1122"/>
        <v>25</v>
      </c>
      <c r="AT487" s="419">
        <f t="shared" si="1122"/>
        <v>55</v>
      </c>
      <c r="AU487" s="1131">
        <f t="shared" si="1123"/>
        <v>745</v>
      </c>
      <c r="AV487" s="419">
        <f t="shared" si="1123"/>
        <v>17</v>
      </c>
      <c r="AW487" s="419">
        <f t="shared" si="1124"/>
        <v>969</v>
      </c>
      <c r="AX487" s="419">
        <f t="shared" si="1124"/>
        <v>82</v>
      </c>
      <c r="AY487" s="419">
        <f t="shared" si="1124"/>
        <v>226</v>
      </c>
      <c r="AZ487" s="1131">
        <f t="shared" si="1125"/>
        <v>1294</v>
      </c>
      <c r="BA487" s="419">
        <f t="shared" si="1125"/>
        <v>342</v>
      </c>
      <c r="BB487" s="419">
        <f t="shared" si="1126"/>
        <v>59</v>
      </c>
      <c r="BC487" s="419">
        <f t="shared" si="1126"/>
        <v>150</v>
      </c>
      <c r="BD487" s="419">
        <f t="shared" si="1127"/>
        <v>99</v>
      </c>
      <c r="BE487" s="1131">
        <f t="shared" si="1128"/>
        <v>650</v>
      </c>
      <c r="BF487" s="419">
        <f t="shared" si="1128"/>
        <v>75</v>
      </c>
      <c r="BG487" s="419">
        <f t="shared" si="1129"/>
        <v>24</v>
      </c>
      <c r="BH487" s="464">
        <f t="shared" si="1130"/>
        <v>17</v>
      </c>
      <c r="BI487" s="171">
        <f>MAX(-(BI166+BI167-BH166-BH167),0)</f>
        <v>0</v>
      </c>
      <c r="BJ487" s="1133">
        <f t="shared" si="1131"/>
        <v>116</v>
      </c>
      <c r="BK487" s="171">
        <f>MAX(-(BK166+BK167-BJ166-BJ167),0)</f>
        <v>0</v>
      </c>
      <c r="BL487" s="171">
        <f>MAX(-(BL166+BL167-BK166-BK167),0)</f>
        <v>89.455</v>
      </c>
      <c r="BM487" s="171">
        <f>MAX(-(BM166+BM167-BL166-BL167),0)</f>
        <v>0</v>
      </c>
      <c r="BN487" s="171">
        <f>MAX(-(BN166+BN167-BM166-BM167),0)</f>
        <v>0</v>
      </c>
      <c r="BO487" s="1133">
        <f t="shared" si="1132"/>
        <v>89.455</v>
      </c>
      <c r="BP487" s="1131">
        <f>MAX(-(BP166+BP167-BO166-BO167),0)</f>
        <v>0</v>
      </c>
      <c r="BQ487" s="1131">
        <f>MAX(-(BQ166+BQ167-BP166-BP167),0)</f>
        <v>0</v>
      </c>
      <c r="BR487" s="1133">
        <f>MAX(-(BR166+BR167-BQ166-BQ167),0)</f>
        <v>0</v>
      </c>
      <c r="BS487" s="119"/>
    </row>
    <row r="488" spans="1:71" s="680" customFormat="1" ht="15">
      <c r="A488" s="420" t="str">
        <f t="shared" si="1106"/>
        <v>Proceeds from sales of equity securities</v>
      </c>
      <c r="B488" s="171"/>
      <c r="C488" s="1131">
        <f t="shared" si="1107"/>
        <v>127</v>
      </c>
      <c r="D488" s="1131">
        <f t="shared" si="1107"/>
        <v>49</v>
      </c>
      <c r="E488" s="1131">
        <f t="shared" si="1107"/>
        <v>198</v>
      </c>
      <c r="F488" s="1131">
        <f t="shared" si="1107"/>
        <v>437</v>
      </c>
      <c r="G488" s="1131">
        <f t="shared" si="1107"/>
        <v>434</v>
      </c>
      <c r="H488" s="419">
        <f t="shared" si="1107"/>
        <v>51</v>
      </c>
      <c r="I488" s="419">
        <f t="shared" si="1108"/>
        <v>14</v>
      </c>
      <c r="J488" s="419">
        <f t="shared" si="1108"/>
        <v>32</v>
      </c>
      <c r="K488" s="419">
        <f t="shared" si="1108"/>
        <v>58</v>
      </c>
      <c r="L488" s="1131">
        <f t="shared" si="1109"/>
        <v>155</v>
      </c>
      <c r="M488" s="419">
        <f t="shared" si="1109"/>
        <v>79</v>
      </c>
      <c r="N488" s="419">
        <f t="shared" si="1110"/>
        <v>70</v>
      </c>
      <c r="O488" s="419">
        <f t="shared" si="1110"/>
        <v>44</v>
      </c>
      <c r="P488" s="419">
        <f t="shared" si="1110"/>
        <v>171</v>
      </c>
      <c r="Q488" s="1131">
        <f t="shared" si="1111"/>
        <v>364</v>
      </c>
      <c r="R488" s="419">
        <f t="shared" si="1111"/>
        <v>55</v>
      </c>
      <c r="S488" s="419">
        <f t="shared" si="1112"/>
        <v>84</v>
      </c>
      <c r="T488" s="419">
        <f t="shared" si="1112"/>
        <v>54</v>
      </c>
      <c r="U488" s="419">
        <f t="shared" si="1112"/>
        <v>155</v>
      </c>
      <c r="V488" s="1131">
        <f t="shared" si="1113"/>
        <v>348</v>
      </c>
      <c r="W488" s="419">
        <f t="shared" si="1113"/>
        <v>14</v>
      </c>
      <c r="X488" s="419">
        <f t="shared" si="1114"/>
        <v>36</v>
      </c>
      <c r="Y488" s="419">
        <f t="shared" si="1114"/>
        <v>47</v>
      </c>
      <c r="Z488" s="419">
        <f t="shared" si="1114"/>
        <v>119</v>
      </c>
      <c r="AA488" s="1131">
        <f t="shared" si="1115"/>
        <v>216</v>
      </c>
      <c r="AB488" s="419">
        <f t="shared" si="1115"/>
        <v>32</v>
      </c>
      <c r="AC488" s="419">
        <f t="shared" si="1116"/>
        <v>74</v>
      </c>
      <c r="AD488" s="419">
        <f t="shared" si="1116"/>
        <v>44</v>
      </c>
      <c r="AE488" s="419">
        <f t="shared" si="1116"/>
        <v>97</v>
      </c>
      <c r="AF488" s="1131">
        <f t="shared" si="1117"/>
        <v>247</v>
      </c>
      <c r="AG488" s="419">
        <f t="shared" si="1117"/>
        <v>95</v>
      </c>
      <c r="AH488" s="419">
        <f t="shared" si="1118"/>
        <v>44</v>
      </c>
      <c r="AI488" s="419">
        <f t="shared" si="1118"/>
        <v>84</v>
      </c>
      <c r="AJ488" s="419">
        <f t="shared" si="1118"/>
        <v>230</v>
      </c>
      <c r="AK488" s="1131">
        <f t="shared" si="1119"/>
        <v>453</v>
      </c>
      <c r="AL488" s="419">
        <f t="shared" si="1119"/>
        <v>80</v>
      </c>
      <c r="AM488" s="419">
        <f t="shared" si="1120"/>
        <v>262</v>
      </c>
      <c r="AN488" s="419">
        <f t="shared" si="1120"/>
        <v>79</v>
      </c>
      <c r="AO488" s="419">
        <f t="shared" si="1120"/>
        <v>235</v>
      </c>
      <c r="AP488" s="1131">
        <f t="shared" si="1121"/>
        <v>656</v>
      </c>
      <c r="AQ488" s="419">
        <f t="shared" si="1121"/>
        <v>350</v>
      </c>
      <c r="AR488" s="419">
        <f t="shared" si="1122"/>
        <v>102</v>
      </c>
      <c r="AS488" s="419">
        <f t="shared" si="1122"/>
        <v>10</v>
      </c>
      <c r="AT488" s="419">
        <f t="shared" si="1122"/>
        <v>61</v>
      </c>
      <c r="AU488" s="1131">
        <f t="shared" si="1123"/>
        <v>523</v>
      </c>
      <c r="AV488" s="419">
        <f t="shared" si="1123"/>
        <v>60</v>
      </c>
      <c r="AW488" s="419">
        <f t="shared" si="1124"/>
        <v>3</v>
      </c>
      <c r="AX488" s="419">
        <f t="shared" si="1124"/>
        <v>49</v>
      </c>
      <c r="AY488" s="419">
        <f t="shared" si="1124"/>
        <v>62</v>
      </c>
      <c r="AZ488" s="1131">
        <f t="shared" si="1125"/>
        <v>174</v>
      </c>
      <c r="BA488" s="419">
        <f t="shared" si="1125"/>
        <v>56</v>
      </c>
      <c r="BB488" s="419">
        <f t="shared" si="1126"/>
        <v>11</v>
      </c>
      <c r="BC488" s="419">
        <f t="shared" si="1126"/>
        <v>28</v>
      </c>
      <c r="BD488" s="419">
        <f t="shared" si="1127"/>
        <v>69</v>
      </c>
      <c r="BE488" s="1131">
        <f t="shared" si="1128"/>
        <v>164</v>
      </c>
      <c r="BF488" s="419">
        <f t="shared" si="1128"/>
        <v>56</v>
      </c>
      <c r="BG488" s="419">
        <f t="shared" si="1129"/>
        <v>25</v>
      </c>
      <c r="BH488" s="464">
        <f t="shared" si="1130"/>
        <v>77</v>
      </c>
      <c r="BI488" s="171">
        <f>MAX(-(BI168+BI169-BH168-BH169),0)</f>
        <v>86.75</v>
      </c>
      <c r="BJ488" s="1133">
        <f t="shared" si="1131"/>
        <v>244.75</v>
      </c>
      <c r="BK488" s="171">
        <f>MAX(-(BK168+BK169-BJ168-BJ169),0)</f>
        <v>31.24530054644822</v>
      </c>
      <c r="BL488" s="171">
        <f>MAX(-(BL168+BL169-BK168-BK169),0)</f>
        <v>0</v>
      </c>
      <c r="BM488" s="171">
        <f>MAX(-(BM168+BM169-BL168-BL169),0)</f>
        <v>0</v>
      </c>
      <c r="BN488" s="171">
        <f>MAX(-(BN168+BN169-BM168-BM169),0)</f>
        <v>85.0150000000001</v>
      </c>
      <c r="BO488" s="1133">
        <f t="shared" si="1132"/>
        <v>116.26030054644832</v>
      </c>
      <c r="BP488" s="1131">
        <f>MAX(-(BP168+BP169-BO168-BO169),0)</f>
        <v>20.378012602739773</v>
      </c>
      <c r="BQ488" s="1131">
        <f>MAX(-(BQ168+BQ169-BP168-BP169),0)</f>
        <v>19.970452350684923</v>
      </c>
      <c r="BR488" s="1133">
        <f>MAX(-(BR168+BR169-BQ168-BQ169),0)</f>
        <v>19.571043303671217</v>
      </c>
      <c r="BS488" s="119"/>
    </row>
    <row r="489" spans="1:71" s="680" customFormat="1" ht="15">
      <c r="A489" s="420" t="str">
        <f t="shared" si="1106"/>
        <v>Proceeds from sales and settlements of equity index call options and other investments</v>
      </c>
      <c r="B489" s="171"/>
      <c r="C489" s="1131">
        <f t="shared" si="1135" ref="C489:H496">C421</f>
        <v>0</v>
      </c>
      <c r="D489" s="1131">
        <f t="shared" si="1135"/>
        <v>0</v>
      </c>
      <c r="E489" s="1131">
        <f t="shared" si="1135"/>
        <v>0</v>
      </c>
      <c r="F489" s="1131">
        <f t="shared" si="1135"/>
        <v>0</v>
      </c>
      <c r="G489" s="1131">
        <f t="shared" si="1135"/>
        <v>0</v>
      </c>
      <c r="H489" s="419">
        <f t="shared" si="1135"/>
        <v>0</v>
      </c>
      <c r="I489" s="419">
        <f t="shared" si="1108"/>
        <v>0</v>
      </c>
      <c r="J489" s="419">
        <f t="shared" si="1108"/>
        <v>0</v>
      </c>
      <c r="K489" s="419">
        <f t="shared" si="1108"/>
        <v>0</v>
      </c>
      <c r="L489" s="1131">
        <f t="shared" si="1109"/>
        <v>0</v>
      </c>
      <c r="M489" s="419">
        <f t="shared" si="1109"/>
        <v>0</v>
      </c>
      <c r="N489" s="419">
        <f t="shared" si="1110"/>
        <v>0</v>
      </c>
      <c r="O489" s="419">
        <f t="shared" si="1110"/>
        <v>0</v>
      </c>
      <c r="P489" s="419">
        <f t="shared" si="1110"/>
        <v>374</v>
      </c>
      <c r="Q489" s="1131">
        <f t="shared" si="1111"/>
        <v>374</v>
      </c>
      <c r="R489" s="419">
        <f t="shared" si="1111"/>
        <v>4</v>
      </c>
      <c r="S489" s="419">
        <f t="shared" si="1112"/>
        <v>-4</v>
      </c>
      <c r="T489" s="419">
        <f t="shared" si="1112"/>
        <v>0</v>
      </c>
      <c r="U489" s="419">
        <f t="shared" si="1112"/>
        <v>319</v>
      </c>
      <c r="V489" s="1131">
        <f t="shared" si="1113"/>
        <v>319</v>
      </c>
      <c r="W489" s="419">
        <f t="shared" si="1113"/>
        <v>174</v>
      </c>
      <c r="X489" s="419">
        <f t="shared" si="1114"/>
        <v>186</v>
      </c>
      <c r="Y489" s="419">
        <f t="shared" si="1114"/>
        <v>205</v>
      </c>
      <c r="Z489" s="419">
        <f t="shared" si="1114"/>
        <v>224</v>
      </c>
      <c r="AA489" s="1131">
        <f t="shared" si="1115"/>
        <v>789</v>
      </c>
      <c r="AB489" s="419">
        <f t="shared" si="1115"/>
        <v>208</v>
      </c>
      <c r="AC489" s="419">
        <f t="shared" si="1116"/>
        <v>238</v>
      </c>
      <c r="AD489" s="419">
        <f t="shared" si="1116"/>
        <v>242</v>
      </c>
      <c r="AE489" s="419">
        <f t="shared" si="1116"/>
        <v>195</v>
      </c>
      <c r="AF489" s="1131">
        <f t="shared" si="1117"/>
        <v>883</v>
      </c>
      <c r="AG489" s="419">
        <f t="shared" si="1117"/>
        <v>79</v>
      </c>
      <c r="AH489" s="419">
        <f t="shared" si="1118"/>
        <v>250</v>
      </c>
      <c r="AI489" s="419">
        <f t="shared" si="1118"/>
        <v>157</v>
      </c>
      <c r="AJ489" s="419">
        <f t="shared" si="1118"/>
        <v>285</v>
      </c>
      <c r="AK489" s="1131">
        <f t="shared" si="1119"/>
        <v>771</v>
      </c>
      <c r="AL489" s="419">
        <f t="shared" si="1119"/>
        <v>248</v>
      </c>
      <c r="AM489" s="419">
        <f t="shared" si="1120"/>
        <v>156</v>
      </c>
      <c r="AN489" s="419">
        <f t="shared" si="1120"/>
        <v>269</v>
      </c>
      <c r="AO489" s="419">
        <f t="shared" si="1120"/>
        <v>315</v>
      </c>
      <c r="AP489" s="1131">
        <f t="shared" si="1121"/>
        <v>988</v>
      </c>
      <c r="AQ489" s="419">
        <f t="shared" si="1121"/>
        <v>269</v>
      </c>
      <c r="AR489" s="419">
        <f t="shared" si="1122"/>
        <v>261</v>
      </c>
      <c r="AS489" s="419">
        <f t="shared" si="1122"/>
        <v>32</v>
      </c>
      <c r="AT489" s="419">
        <f t="shared" si="1122"/>
        <v>22</v>
      </c>
      <c r="AU489" s="1131">
        <f t="shared" si="1123"/>
        <v>584</v>
      </c>
      <c r="AV489" s="419">
        <f t="shared" si="1123"/>
        <v>59</v>
      </c>
      <c r="AW489" s="419">
        <f t="shared" si="1124"/>
        <v>57</v>
      </c>
      <c r="AX489" s="419">
        <f t="shared" si="1124"/>
        <v>12</v>
      </c>
      <c r="AY489" s="419">
        <f t="shared" si="1124"/>
        <v>13</v>
      </c>
      <c r="AZ489" s="1131">
        <f t="shared" si="1125"/>
        <v>141</v>
      </c>
      <c r="BA489" s="419">
        <f t="shared" si="1125"/>
        <v>33</v>
      </c>
      <c r="BB489" s="419">
        <f t="shared" si="1126"/>
        <v>10</v>
      </c>
      <c r="BC489" s="419">
        <f t="shared" si="1126"/>
        <v>6</v>
      </c>
      <c r="BD489" s="419">
        <f t="shared" si="1127"/>
        <v>29</v>
      </c>
      <c r="BE489" s="1131">
        <f t="shared" si="1128"/>
        <v>78</v>
      </c>
      <c r="BF489" s="419">
        <f t="shared" si="1128"/>
        <v>5</v>
      </c>
      <c r="BG489" s="419">
        <f t="shared" si="1129"/>
        <v>10</v>
      </c>
      <c r="BH489" s="464">
        <f t="shared" si="1130"/>
        <v>10</v>
      </c>
      <c r="BI489" s="171">
        <f>MAX(-(BI173-BH173),0)</f>
        <v>0</v>
      </c>
      <c r="BJ489" s="1133">
        <f t="shared" si="1131"/>
        <v>25</v>
      </c>
      <c r="BK489" s="171">
        <f t="shared" si="1136" ref="BK489:BN490">MAX(-(BK173-BJ173),0)</f>
        <v>0</v>
      </c>
      <c r="BL489" s="171">
        <f t="shared" si="1136"/>
        <v>0</v>
      </c>
      <c r="BM489" s="171">
        <f t="shared" si="1136"/>
        <v>0</v>
      </c>
      <c r="BN489" s="171">
        <f t="shared" si="1136"/>
        <v>0</v>
      </c>
      <c r="BO489" s="1133">
        <f t="shared" si="1132"/>
        <v>0</v>
      </c>
      <c r="BP489" s="1131">
        <f t="shared" si="1137" ref="BP489:BR490">MAX(-(BP173-BO173),0)</f>
        <v>0</v>
      </c>
      <c r="BQ489" s="1131">
        <f t="shared" si="1137"/>
        <v>0</v>
      </c>
      <c r="BR489" s="1133">
        <f t="shared" si="1137"/>
        <v>0</v>
      </c>
      <c r="BS489" s="119"/>
    </row>
    <row r="490" spans="1:71" s="680" customFormat="1" ht="15">
      <c r="A490" s="420" t="str">
        <f t="shared" si="1106"/>
        <v>Proceeds from sales of real estate, property and equipment</v>
      </c>
      <c r="B490" s="171"/>
      <c r="C490" s="1131">
        <f t="shared" si="1135"/>
        <v>1</v>
      </c>
      <c r="D490" s="1131">
        <f t="shared" si="1135"/>
        <v>4</v>
      </c>
      <c r="E490" s="1131">
        <f t="shared" si="1135"/>
        <v>3</v>
      </c>
      <c r="F490" s="1131">
        <f t="shared" si="1135"/>
        <v>4</v>
      </c>
      <c r="G490" s="1131">
        <f t="shared" si="1135"/>
        <v>34</v>
      </c>
      <c r="H490" s="419">
        <f t="shared" si="1135"/>
        <v>1</v>
      </c>
      <c r="I490" s="419">
        <f t="shared" si="1108"/>
        <v>2</v>
      </c>
      <c r="J490" s="419">
        <f t="shared" si="1108"/>
        <v>8</v>
      </c>
      <c r="K490" s="419">
        <f t="shared" si="1108"/>
        <v>3</v>
      </c>
      <c r="L490" s="1131">
        <f t="shared" si="1109"/>
        <v>14</v>
      </c>
      <c r="M490" s="419">
        <f t="shared" si="1109"/>
        <v>23</v>
      </c>
      <c r="N490" s="419">
        <f t="shared" si="1110"/>
        <v>69</v>
      </c>
      <c r="O490" s="419">
        <f t="shared" si="1110"/>
        <v>4</v>
      </c>
      <c r="P490" s="419">
        <f t="shared" si="1110"/>
        <v>21</v>
      </c>
      <c r="Q490" s="1131">
        <f t="shared" si="1111"/>
        <v>117</v>
      </c>
      <c r="R490" s="419">
        <f t="shared" si="1111"/>
        <v>5</v>
      </c>
      <c r="S490" s="419">
        <f t="shared" si="1112"/>
        <v>38</v>
      </c>
      <c r="T490" s="419">
        <f t="shared" si="1112"/>
        <v>2</v>
      </c>
      <c r="U490" s="419">
        <f t="shared" si="1112"/>
        <v>10</v>
      </c>
      <c r="V490" s="1131">
        <f t="shared" si="1113"/>
        <v>55</v>
      </c>
      <c r="W490" s="419">
        <f t="shared" si="1113"/>
        <v>24</v>
      </c>
      <c r="X490" s="419">
        <f t="shared" si="1114"/>
        <v>29</v>
      </c>
      <c r="Y490" s="419">
        <f t="shared" si="1114"/>
        <v>1</v>
      </c>
      <c r="Z490" s="419">
        <f t="shared" si="1114"/>
        <v>1</v>
      </c>
      <c r="AA490" s="1131">
        <f t="shared" si="1115"/>
        <v>55</v>
      </c>
      <c r="AB490" s="419">
        <f t="shared" si="1115"/>
        <v>0</v>
      </c>
      <c r="AC490" s="419">
        <f t="shared" si="1116"/>
        <v>1</v>
      </c>
      <c r="AD490" s="419">
        <f t="shared" si="1116"/>
        <v>2</v>
      </c>
      <c r="AE490" s="419">
        <f t="shared" si="1116"/>
        <v>0</v>
      </c>
      <c r="AF490" s="1131">
        <f t="shared" si="1117"/>
        <v>3</v>
      </c>
      <c r="AG490" s="419">
        <f t="shared" si="1117"/>
        <v>1</v>
      </c>
      <c r="AH490" s="419">
        <f t="shared" si="1118"/>
        <v>1</v>
      </c>
      <c r="AI490" s="419">
        <f t="shared" si="1118"/>
        <v>1</v>
      </c>
      <c r="AJ490" s="419">
        <f t="shared" si="1118"/>
        <v>1</v>
      </c>
      <c r="AK490" s="1131">
        <f t="shared" si="1119"/>
        <v>4</v>
      </c>
      <c r="AL490" s="419">
        <f t="shared" si="1119"/>
        <v>1</v>
      </c>
      <c r="AM490" s="419">
        <f t="shared" si="1120"/>
        <v>3</v>
      </c>
      <c r="AN490" s="419">
        <f t="shared" si="1120"/>
        <v>3</v>
      </c>
      <c r="AO490" s="419">
        <f t="shared" si="1120"/>
        <v>-2</v>
      </c>
      <c r="AP490" s="1131">
        <f t="shared" si="1121"/>
        <v>5</v>
      </c>
      <c r="AQ490" s="419">
        <f t="shared" si="1121"/>
        <v>0</v>
      </c>
      <c r="AR490" s="419">
        <f t="shared" si="1122"/>
        <v>1</v>
      </c>
      <c r="AS490" s="419">
        <f t="shared" si="1122"/>
        <v>24</v>
      </c>
      <c r="AT490" s="419">
        <f t="shared" si="1122"/>
        <v>21</v>
      </c>
      <c r="AU490" s="1131">
        <f t="shared" si="1123"/>
        <v>46</v>
      </c>
      <c r="AV490" s="419">
        <f t="shared" si="1123"/>
        <v>0</v>
      </c>
      <c r="AW490" s="419">
        <f t="shared" si="1124"/>
        <v>24</v>
      </c>
      <c r="AX490" s="419">
        <f t="shared" si="1124"/>
        <v>7</v>
      </c>
      <c r="AY490" s="419">
        <f t="shared" si="1124"/>
        <v>0</v>
      </c>
      <c r="AZ490" s="1131">
        <f t="shared" si="1125"/>
        <v>31</v>
      </c>
      <c r="BA490" s="419">
        <f t="shared" si="1125"/>
        <v>1</v>
      </c>
      <c r="BB490" s="419">
        <f t="shared" si="1126"/>
        <v>1</v>
      </c>
      <c r="BC490" s="419">
        <f t="shared" si="1126"/>
        <v>0</v>
      </c>
      <c r="BD490" s="419">
        <f t="shared" si="1127"/>
        <v>1</v>
      </c>
      <c r="BE490" s="1131">
        <f t="shared" si="1128"/>
        <v>3</v>
      </c>
      <c r="BF490" s="419">
        <f t="shared" si="1128"/>
        <v>0</v>
      </c>
      <c r="BG490" s="419">
        <f t="shared" si="1129"/>
        <v>25</v>
      </c>
      <c r="BH490" s="464">
        <f t="shared" si="1130"/>
        <v>0</v>
      </c>
      <c r="BI490" s="171">
        <f>MAX(-(BI174-BH174),0)</f>
        <v>0</v>
      </c>
      <c r="BJ490" s="1133">
        <f t="shared" si="1131"/>
        <v>25</v>
      </c>
      <c r="BK490" s="171">
        <f t="shared" si="1136"/>
        <v>0</v>
      </c>
      <c r="BL490" s="171">
        <f t="shared" si="1136"/>
        <v>0</v>
      </c>
      <c r="BM490" s="171">
        <f t="shared" si="1136"/>
        <v>0</v>
      </c>
      <c r="BN490" s="171">
        <f t="shared" si="1136"/>
        <v>0</v>
      </c>
      <c r="BO490" s="1133">
        <f t="shared" si="1132"/>
        <v>0</v>
      </c>
      <c r="BP490" s="1131">
        <f t="shared" si="1137"/>
        <v>0</v>
      </c>
      <c r="BQ490" s="1131">
        <f t="shared" si="1137"/>
        <v>0</v>
      </c>
      <c r="BR490" s="1133">
        <f t="shared" si="1137"/>
        <v>0</v>
      </c>
      <c r="BS490" s="119"/>
    </row>
    <row r="491" spans="1:71" s="680" customFormat="1" ht="15">
      <c r="A491" s="420" t="str">
        <f t="shared" si="1106"/>
        <v>Change in securities lending collateral</v>
      </c>
      <c r="B491" s="171"/>
      <c r="C491" s="1131">
        <f t="shared" si="1135"/>
        <v>48</v>
      </c>
      <c r="D491" s="1131">
        <f t="shared" si="1135"/>
        <v>0</v>
      </c>
      <c r="E491" s="1131">
        <f t="shared" si="1135"/>
        <v>0</v>
      </c>
      <c r="F491" s="1131">
        <f t="shared" si="1135"/>
        <v>0</v>
      </c>
      <c r="G491" s="1131">
        <f t="shared" si="1135"/>
        <v>0</v>
      </c>
      <c r="H491" s="419">
        <f t="shared" si="1135"/>
        <v>0</v>
      </c>
      <c r="I491" s="419">
        <f t="shared" si="1108"/>
        <v>0</v>
      </c>
      <c r="J491" s="419">
        <f t="shared" si="1108"/>
        <v>0</v>
      </c>
      <c r="K491" s="419">
        <f t="shared" si="1108"/>
        <v>0</v>
      </c>
      <c r="L491" s="1131">
        <f t="shared" si="1109"/>
        <v>0</v>
      </c>
      <c r="M491" s="419">
        <f t="shared" si="1109"/>
        <v>0</v>
      </c>
      <c r="N491" s="419">
        <f t="shared" si="1110"/>
        <v>0</v>
      </c>
      <c r="O491" s="419">
        <f t="shared" si="1110"/>
        <v>0</v>
      </c>
      <c r="P491" s="419">
        <f t="shared" si="1110"/>
        <v>0</v>
      </c>
      <c r="Q491" s="1131">
        <f t="shared" si="1111"/>
        <v>0</v>
      </c>
      <c r="R491" s="419">
        <f t="shared" si="1111"/>
        <v>0</v>
      </c>
      <c r="S491" s="419">
        <f t="shared" si="1112"/>
        <v>0</v>
      </c>
      <c r="T491" s="419">
        <f t="shared" si="1112"/>
        <v>0</v>
      </c>
      <c r="U491" s="419">
        <f t="shared" si="1112"/>
        <v>0</v>
      </c>
      <c r="V491" s="1131">
        <f t="shared" si="1113"/>
        <v>0</v>
      </c>
      <c r="W491" s="419">
        <f t="shared" si="1113"/>
        <v>0</v>
      </c>
      <c r="X491" s="419">
        <f t="shared" si="1114"/>
        <v>0</v>
      </c>
      <c r="Y491" s="419">
        <f t="shared" si="1114"/>
        <v>0</v>
      </c>
      <c r="Z491" s="419">
        <f t="shared" si="1114"/>
        <v>0</v>
      </c>
      <c r="AA491" s="1131">
        <f t="shared" si="1115"/>
        <v>0</v>
      </c>
      <c r="AB491" s="419">
        <f t="shared" si="1115"/>
        <v>0</v>
      </c>
      <c r="AC491" s="419">
        <f t="shared" si="1116"/>
        <v>0</v>
      </c>
      <c r="AD491" s="419">
        <f t="shared" si="1116"/>
        <v>0</v>
      </c>
      <c r="AE491" s="419">
        <f t="shared" si="1116"/>
        <v>0</v>
      </c>
      <c r="AF491" s="1131">
        <f t="shared" si="1117"/>
        <v>0</v>
      </c>
      <c r="AG491" s="419">
        <f t="shared" si="1117"/>
        <v>0</v>
      </c>
      <c r="AH491" s="419">
        <f t="shared" si="1118"/>
        <v>0</v>
      </c>
      <c r="AI491" s="419">
        <f t="shared" si="1118"/>
        <v>0</v>
      </c>
      <c r="AJ491" s="419">
        <f t="shared" si="1118"/>
        <v>0</v>
      </c>
      <c r="AK491" s="1131">
        <f t="shared" si="1119"/>
        <v>0</v>
      </c>
      <c r="AL491" s="419">
        <f t="shared" si="1119"/>
        <v>0</v>
      </c>
      <c r="AM491" s="419">
        <f t="shared" si="1120"/>
        <v>0</v>
      </c>
      <c r="AN491" s="419">
        <f t="shared" si="1120"/>
        <v>0</v>
      </c>
      <c r="AO491" s="419">
        <f t="shared" si="1120"/>
        <v>0</v>
      </c>
      <c r="AP491" s="1131">
        <f t="shared" si="1121"/>
        <v>0</v>
      </c>
      <c r="AQ491" s="419">
        <f t="shared" si="1121"/>
        <v>0</v>
      </c>
      <c r="AR491" s="419">
        <f t="shared" si="1122"/>
        <v>0</v>
      </c>
      <c r="AS491" s="419">
        <f t="shared" si="1122"/>
        <v>0</v>
      </c>
      <c r="AT491" s="419">
        <f t="shared" si="1122"/>
        <v>0</v>
      </c>
      <c r="AU491" s="1131">
        <f t="shared" si="1123"/>
        <v>0</v>
      </c>
      <c r="AV491" s="419">
        <f t="shared" si="1123"/>
        <v>0</v>
      </c>
      <c r="AW491" s="419">
        <f t="shared" si="1124"/>
        <v>0</v>
      </c>
      <c r="AX491" s="419">
        <f t="shared" si="1124"/>
        <v>0</v>
      </c>
      <c r="AY491" s="419">
        <f t="shared" si="1124"/>
        <v>0</v>
      </c>
      <c r="AZ491" s="1131">
        <f t="shared" si="1125"/>
        <v>0</v>
      </c>
      <c r="BA491" s="419">
        <f t="shared" si="1125"/>
        <v>0</v>
      </c>
      <c r="BB491" s="419">
        <f t="shared" si="1126"/>
        <v>0</v>
      </c>
      <c r="BC491" s="419">
        <f t="shared" si="1126"/>
        <v>0</v>
      </c>
      <c r="BD491" s="419">
        <f t="shared" si="1127"/>
        <v>0</v>
      </c>
      <c r="BE491" s="1131">
        <f t="shared" si="1128"/>
        <v>0</v>
      </c>
      <c r="BF491" s="419">
        <f t="shared" si="1128"/>
        <v>0</v>
      </c>
      <c r="BG491" s="419">
        <f t="shared" si="1129"/>
        <v>0</v>
      </c>
      <c r="BH491" s="464">
        <f t="shared" si="1130"/>
        <v>0</v>
      </c>
      <c r="BI491" s="171"/>
      <c r="BJ491" s="1133">
        <f t="shared" si="1131"/>
        <v>0</v>
      </c>
      <c r="BK491" s="171"/>
      <c r="BL491" s="171"/>
      <c r="BM491" s="171"/>
      <c r="BN491" s="171"/>
      <c r="BO491" s="1133">
        <f t="shared" si="1132"/>
        <v>0</v>
      </c>
      <c r="BP491" s="1131"/>
      <c r="BQ491" s="1131"/>
      <c r="BR491" s="1133"/>
      <c r="BS491" s="119"/>
    </row>
    <row r="492" spans="1:71" s="680" customFormat="1" ht="15">
      <c r="A492" s="420" t="str">
        <f t="shared" si="1106"/>
        <v>Proceeds from sales of businesses</v>
      </c>
      <c r="B492" s="171"/>
      <c r="C492" s="1131">
        <f t="shared" si="1135"/>
        <v>0</v>
      </c>
      <c r="D492" s="1131">
        <f t="shared" si="1135"/>
        <v>0</v>
      </c>
      <c r="E492" s="1131">
        <f t="shared" si="1135"/>
        <v>9</v>
      </c>
      <c r="F492" s="1131">
        <f t="shared" si="1135"/>
        <v>322</v>
      </c>
      <c r="G492" s="1131">
        <f t="shared" si="1135"/>
        <v>0</v>
      </c>
      <c r="H492" s="419">
        <f t="shared" si="1135"/>
        <v>0</v>
      </c>
      <c r="I492" s="419">
        <f t="shared" si="1108"/>
        <v>1078</v>
      </c>
      <c r="J492" s="419">
        <f t="shared" si="1108"/>
        <v>0</v>
      </c>
      <c r="K492" s="419">
        <f t="shared" si="1108"/>
        <v>-1078</v>
      </c>
      <c r="L492" s="1131">
        <f t="shared" si="1109"/>
        <v>0</v>
      </c>
      <c r="M492" s="419">
        <f t="shared" si="1109"/>
        <v>0</v>
      </c>
      <c r="N492" s="419">
        <f t="shared" si="1110"/>
        <v>0</v>
      </c>
      <c r="O492" s="419">
        <f t="shared" si="1110"/>
        <v>0</v>
      </c>
      <c r="P492" s="419">
        <f t="shared" si="1110"/>
        <v>7</v>
      </c>
      <c r="Q492" s="1131">
        <f t="shared" si="1111"/>
        <v>7</v>
      </c>
      <c r="R492" s="419">
        <f t="shared" si="1111"/>
        <v>0</v>
      </c>
      <c r="S492" s="419">
        <f t="shared" si="1112"/>
        <v>0</v>
      </c>
      <c r="T492" s="419">
        <f t="shared" si="1112"/>
        <v>0</v>
      </c>
      <c r="U492" s="419">
        <f t="shared" si="1112"/>
        <v>0</v>
      </c>
      <c r="V492" s="1131">
        <f t="shared" si="1113"/>
        <v>0</v>
      </c>
      <c r="W492" s="419">
        <f t="shared" si="1113"/>
        <v>0</v>
      </c>
      <c r="X492" s="419">
        <f t="shared" si="1114"/>
        <v>0</v>
      </c>
      <c r="Y492" s="419">
        <f t="shared" si="1114"/>
        <v>0</v>
      </c>
      <c r="Z492" s="419">
        <f t="shared" si="1114"/>
        <v>0</v>
      </c>
      <c r="AA492" s="1131">
        <f t="shared" si="1115"/>
        <v>0</v>
      </c>
      <c r="AB492" s="419">
        <f t="shared" si="1115"/>
        <v>0</v>
      </c>
      <c r="AC492" s="419">
        <f t="shared" si="1116"/>
        <v>0</v>
      </c>
      <c r="AD492" s="419">
        <f t="shared" si="1116"/>
        <v>0</v>
      </c>
      <c r="AE492" s="419">
        <f t="shared" si="1116"/>
        <v>0</v>
      </c>
      <c r="AF492" s="1131">
        <f t="shared" si="1117"/>
        <v>0</v>
      </c>
      <c r="AG492" s="419">
        <f t="shared" si="1117"/>
        <v>0</v>
      </c>
      <c r="AH492" s="419">
        <f t="shared" si="1118"/>
        <v>0</v>
      </c>
      <c r="AI492" s="419">
        <f t="shared" si="1118"/>
        <v>0</v>
      </c>
      <c r="AJ492" s="419">
        <f t="shared" si="1118"/>
        <v>0</v>
      </c>
      <c r="AK492" s="1131">
        <f t="shared" si="1119"/>
        <v>0</v>
      </c>
      <c r="AL492" s="419">
        <f t="shared" si="1119"/>
        <v>0</v>
      </c>
      <c r="AM492" s="419">
        <f t="shared" si="1120"/>
        <v>0</v>
      </c>
      <c r="AN492" s="419">
        <f t="shared" si="1120"/>
        <v>0</v>
      </c>
      <c r="AO492" s="419">
        <f t="shared" si="1120"/>
        <v>3</v>
      </c>
      <c r="AP492" s="1131">
        <f t="shared" si="1121"/>
        <v>3</v>
      </c>
      <c r="AQ492" s="419">
        <f t="shared" si="1121"/>
        <v>0</v>
      </c>
      <c r="AR492" s="419">
        <f t="shared" si="1122"/>
        <v>3547</v>
      </c>
      <c r="AS492" s="419">
        <f t="shared" si="1122"/>
        <v>0</v>
      </c>
      <c r="AT492" s="419">
        <f t="shared" si="1122"/>
        <v>34</v>
      </c>
      <c r="AU492" s="1131">
        <f t="shared" si="1123"/>
        <v>3581</v>
      </c>
      <c r="AV492" s="419">
        <f t="shared" si="1123"/>
        <v>0</v>
      </c>
      <c r="AW492" s="419">
        <f t="shared" si="1124"/>
        <v>0</v>
      </c>
      <c r="AX492" s="419">
        <f t="shared" si="1124"/>
        <v>0</v>
      </c>
      <c r="AY492" s="419">
        <f t="shared" si="1124"/>
        <v>0</v>
      </c>
      <c r="AZ492" s="1131">
        <f t="shared" si="1125"/>
        <v>0</v>
      </c>
      <c r="BA492" s="419">
        <f t="shared" si="1125"/>
        <v>0</v>
      </c>
      <c r="BB492" s="419">
        <f t="shared" si="1126"/>
        <v>0</v>
      </c>
      <c r="BC492" s="419">
        <f t="shared" si="1126"/>
        <v>0</v>
      </c>
      <c r="BD492" s="419">
        <f t="shared" si="1127"/>
        <v>0</v>
      </c>
      <c r="BE492" s="1131">
        <f t="shared" si="1128"/>
        <v>0</v>
      </c>
      <c r="BF492" s="419">
        <f t="shared" si="1128"/>
        <v>0</v>
      </c>
      <c r="BG492" s="419">
        <f t="shared" si="1129"/>
        <v>0</v>
      </c>
      <c r="BH492" s="464">
        <f t="shared" si="1130"/>
        <v>0</v>
      </c>
      <c r="BI492" s="171"/>
      <c r="BJ492" s="1133">
        <f t="shared" si="1131"/>
        <v>0</v>
      </c>
      <c r="BK492" s="171"/>
      <c r="BL492" s="171"/>
      <c r="BM492" s="171"/>
      <c r="BN492" s="171"/>
      <c r="BO492" s="1133">
        <f t="shared" si="1132"/>
        <v>0</v>
      </c>
      <c r="BP492" s="1131"/>
      <c r="BQ492" s="1131"/>
      <c r="BR492" s="1133"/>
      <c r="BS492" s="119"/>
    </row>
    <row r="493" spans="1:71" s="680" customFormat="1" ht="15">
      <c r="A493" s="420" t="str">
        <f t="shared" si="1106"/>
        <v>Cash and cash equivalents of businesses acquired (sold)</v>
      </c>
      <c r="B493" s="171"/>
      <c r="C493" s="1131">
        <f t="shared" si="1135"/>
        <v>-23</v>
      </c>
      <c r="D493" s="1131">
        <f t="shared" si="1135"/>
        <v>95</v>
      </c>
      <c r="E493" s="1131">
        <f t="shared" si="1135"/>
        <v>-5</v>
      </c>
      <c r="F493" s="1131">
        <f t="shared" si="1135"/>
        <v>-34</v>
      </c>
      <c r="G493" s="1131">
        <f t="shared" si="1135"/>
        <v>-5</v>
      </c>
      <c r="H493" s="419">
        <f t="shared" si="1135"/>
        <v>0</v>
      </c>
      <c r="I493" s="419">
        <f t="shared" si="1108"/>
        <v>0</v>
      </c>
      <c r="J493" s="419">
        <f t="shared" si="1108"/>
        <v>0</v>
      </c>
      <c r="K493" s="419">
        <f t="shared" si="1108"/>
        <v>1078</v>
      </c>
      <c r="L493" s="1131">
        <f t="shared" si="1109"/>
        <v>1078</v>
      </c>
      <c r="M493" s="419">
        <f t="shared" si="1109"/>
        <v>0</v>
      </c>
      <c r="N493" s="419">
        <f t="shared" si="1110"/>
        <v>0</v>
      </c>
      <c r="O493" s="419">
        <f t="shared" si="1110"/>
        <v>0</v>
      </c>
      <c r="P493" s="419">
        <f t="shared" si="1110"/>
        <v>-49</v>
      </c>
      <c r="Q493" s="1131">
        <f t="shared" si="1111"/>
        <v>-49</v>
      </c>
      <c r="R493" s="419">
        <f t="shared" si="1111"/>
        <v>0</v>
      </c>
      <c r="S493" s="419">
        <f t="shared" si="1112"/>
        <v>0</v>
      </c>
      <c r="T493" s="419">
        <f t="shared" si="1112"/>
        <v>0</v>
      </c>
      <c r="U493" s="419">
        <f t="shared" si="1112"/>
        <v>0</v>
      </c>
      <c r="V493" s="1131">
        <f t="shared" si="1113"/>
        <v>0</v>
      </c>
      <c r="W493" s="419">
        <f t="shared" si="1113"/>
        <v>0</v>
      </c>
      <c r="X493" s="419">
        <f t="shared" si="1114"/>
        <v>0</v>
      </c>
      <c r="Y493" s="419">
        <f t="shared" si="1114"/>
        <v>0</v>
      </c>
      <c r="Z493" s="419">
        <f t="shared" si="1114"/>
        <v>0</v>
      </c>
      <c r="AA493" s="1131">
        <f t="shared" si="1115"/>
        <v>0</v>
      </c>
      <c r="AB493" s="419">
        <f t="shared" si="1115"/>
        <v>0</v>
      </c>
      <c r="AC493" s="419">
        <f t="shared" si="1116"/>
        <v>0</v>
      </c>
      <c r="AD493" s="419">
        <f t="shared" si="1116"/>
        <v>0</v>
      </c>
      <c r="AE493" s="419">
        <f t="shared" si="1116"/>
        <v>13</v>
      </c>
      <c r="AF493" s="1131">
        <f t="shared" si="1117"/>
        <v>13</v>
      </c>
      <c r="AG493" s="419">
        <f t="shared" si="1117"/>
        <v>0</v>
      </c>
      <c r="AH493" s="419">
        <f t="shared" si="1118"/>
        <v>0</v>
      </c>
      <c r="AI493" s="419">
        <f t="shared" si="1118"/>
        <v>0</v>
      </c>
      <c r="AJ493" s="419">
        <f t="shared" si="1118"/>
        <v>0</v>
      </c>
      <c r="AK493" s="1131">
        <f t="shared" si="1119"/>
        <v>0</v>
      </c>
      <c r="AL493" s="419">
        <f t="shared" si="1119"/>
        <v>0</v>
      </c>
      <c r="AM493" s="419">
        <f t="shared" si="1120"/>
        <v>0</v>
      </c>
      <c r="AN493" s="419">
        <f t="shared" si="1120"/>
        <v>0</v>
      </c>
      <c r="AO493" s="419">
        <f t="shared" si="1120"/>
        <v>-425</v>
      </c>
      <c r="AP493" s="1131">
        <f t="shared" si="1121"/>
        <v>-425</v>
      </c>
      <c r="AQ493" s="419">
        <f t="shared" si="1121"/>
        <v>0</v>
      </c>
      <c r="AR493" s="419">
        <f t="shared" si="1122"/>
        <v>-2060</v>
      </c>
      <c r="AS493" s="419">
        <f t="shared" si="1122"/>
        <v>0</v>
      </c>
      <c r="AT493" s="419">
        <f t="shared" si="1122"/>
        <v>2</v>
      </c>
      <c r="AU493" s="1131">
        <f t="shared" si="1123"/>
        <v>-2058</v>
      </c>
      <c r="AV493" s="419">
        <f t="shared" si="1123"/>
        <v>0</v>
      </c>
      <c r="AW493" s="419">
        <f t="shared" si="1124"/>
        <v>0</v>
      </c>
      <c r="AX493" s="419">
        <f t="shared" si="1124"/>
        <v>0</v>
      </c>
      <c r="AY493" s="419">
        <f t="shared" si="1124"/>
        <v>0</v>
      </c>
      <c r="AZ493" s="1131">
        <f t="shared" si="1125"/>
        <v>0</v>
      </c>
      <c r="BA493" s="419">
        <f t="shared" si="1125"/>
        <v>0</v>
      </c>
      <c r="BB493" s="419">
        <f t="shared" si="1126"/>
        <v>0</v>
      </c>
      <c r="BC493" s="419">
        <f t="shared" si="1126"/>
        <v>26</v>
      </c>
      <c r="BD493" s="419">
        <f t="shared" si="1127"/>
        <v>0</v>
      </c>
      <c r="BE493" s="1131">
        <f t="shared" si="1128"/>
        <v>26</v>
      </c>
      <c r="BF493" s="419">
        <f t="shared" si="1128"/>
        <v>0</v>
      </c>
      <c r="BG493" s="419">
        <f t="shared" si="1129"/>
        <v>0</v>
      </c>
      <c r="BH493" s="464">
        <f t="shared" si="1130"/>
        <v>0</v>
      </c>
      <c r="BI493" s="171"/>
      <c r="BJ493" s="1133">
        <f t="shared" si="1131"/>
        <v>0</v>
      </c>
      <c r="BK493" s="171"/>
      <c r="BL493" s="171"/>
      <c r="BM493" s="171"/>
      <c r="BN493" s="171"/>
      <c r="BO493" s="1133">
        <f t="shared" si="1132"/>
        <v>0</v>
      </c>
      <c r="BP493" s="1131"/>
      <c r="BQ493" s="1131"/>
      <c r="BR493" s="1133"/>
      <c r="BS493" s="119"/>
    </row>
    <row r="494" spans="1:71" s="680" customFormat="1" ht="15">
      <c r="A494" s="420" t="str">
        <f t="shared" si="1106"/>
        <v>Managed investment entities - purchases of investments</v>
      </c>
      <c r="B494" s="171"/>
      <c r="C494" s="1131">
        <f t="shared" si="1135"/>
        <v>0</v>
      </c>
      <c r="D494" s="1131">
        <f t="shared" si="1135"/>
        <v>-1008</v>
      </c>
      <c r="E494" s="1131">
        <f t="shared" si="1135"/>
        <v>-1563</v>
      </c>
      <c r="F494" s="1131">
        <f t="shared" si="1135"/>
        <v>-1849</v>
      </c>
      <c r="G494" s="1131">
        <f t="shared" si="1135"/>
        <v>-1426</v>
      </c>
      <c r="H494" s="419">
        <f t="shared" si="1135"/>
        <v>-244</v>
      </c>
      <c r="I494" s="419">
        <f t="shared" si="1108"/>
        <v>-406</v>
      </c>
      <c r="J494" s="419">
        <f t="shared" si="1108"/>
        <v>-425</v>
      </c>
      <c r="K494" s="419">
        <f t="shared" si="1108"/>
        <v>-617</v>
      </c>
      <c r="L494" s="1131">
        <f t="shared" si="1109"/>
        <v>-1692</v>
      </c>
      <c r="M494" s="419">
        <f t="shared" si="1109"/>
        <v>-258</v>
      </c>
      <c r="N494" s="419">
        <f t="shared" si="1110"/>
        <v>-550</v>
      </c>
      <c r="O494" s="419">
        <f t="shared" si="1110"/>
        <v>-359</v>
      </c>
      <c r="P494" s="419">
        <f t="shared" si="1110"/>
        <v>-363</v>
      </c>
      <c r="Q494" s="1131">
        <f t="shared" si="1111"/>
        <v>-1530</v>
      </c>
      <c r="R494" s="419">
        <f t="shared" si="1111"/>
        <v>-239</v>
      </c>
      <c r="S494" s="419">
        <f t="shared" si="1112"/>
        <v>-630</v>
      </c>
      <c r="T494" s="419">
        <f t="shared" si="1112"/>
        <v>-536</v>
      </c>
      <c r="U494" s="419">
        <f t="shared" si="1112"/>
        <v>-849</v>
      </c>
      <c r="V494" s="1131">
        <f t="shared" si="1113"/>
        <v>-2254</v>
      </c>
      <c r="W494" s="419">
        <f t="shared" si="1113"/>
        <v>-910</v>
      </c>
      <c r="X494" s="419">
        <f t="shared" si="1114"/>
        <v>-870</v>
      </c>
      <c r="Y494" s="419">
        <f t="shared" si="1114"/>
        <v>-550</v>
      </c>
      <c r="Z494" s="419">
        <f t="shared" si="1114"/>
        <v>-649</v>
      </c>
      <c r="AA494" s="1131">
        <f t="shared" si="1115"/>
        <v>-2979</v>
      </c>
      <c r="AB494" s="419">
        <f t="shared" si="1115"/>
        <v>-606</v>
      </c>
      <c r="AC494" s="419">
        <f t="shared" si="1116"/>
        <v>-655</v>
      </c>
      <c r="AD494" s="419">
        <f t="shared" si="1116"/>
        <v>-413</v>
      </c>
      <c r="AE494" s="419">
        <f t="shared" si="1116"/>
        <v>-443</v>
      </c>
      <c r="AF494" s="1131">
        <f t="shared" si="1117"/>
        <v>-2117</v>
      </c>
      <c r="AG494" s="419">
        <f t="shared" si="1117"/>
        <v>-391</v>
      </c>
      <c r="AH494" s="419">
        <f t="shared" si="1118"/>
        <v>-306</v>
      </c>
      <c r="AI494" s="419">
        <f t="shared" si="1118"/>
        <v>-365</v>
      </c>
      <c r="AJ494" s="419">
        <f t="shared" si="1118"/>
        <v>-336</v>
      </c>
      <c r="AK494" s="1131">
        <f t="shared" si="1119"/>
        <v>-1398</v>
      </c>
      <c r="AL494" s="419">
        <f t="shared" si="1119"/>
        <v>-414</v>
      </c>
      <c r="AM494" s="419">
        <f t="shared" si="1120"/>
        <v>-189</v>
      </c>
      <c r="AN494" s="419">
        <f t="shared" si="1120"/>
        <v>-275</v>
      </c>
      <c r="AO494" s="419">
        <f t="shared" si="1120"/>
        <v>-624</v>
      </c>
      <c r="AP494" s="1131">
        <f t="shared" si="1121"/>
        <v>-1502</v>
      </c>
      <c r="AQ494" s="419">
        <f t="shared" si="1121"/>
        <v>-527</v>
      </c>
      <c r="AR494" s="419">
        <f t="shared" si="1122"/>
        <v>-460</v>
      </c>
      <c r="AS494" s="419">
        <f t="shared" si="1122"/>
        <v>-493</v>
      </c>
      <c r="AT494" s="419">
        <f t="shared" si="1122"/>
        <v>-675</v>
      </c>
      <c r="AU494" s="1131">
        <f t="shared" si="1123"/>
        <v>-2155</v>
      </c>
      <c r="AV494" s="419">
        <f t="shared" si="1123"/>
        <v>-357</v>
      </c>
      <c r="AW494" s="419">
        <f t="shared" si="1124"/>
        <v>-456</v>
      </c>
      <c r="AX494" s="419">
        <f t="shared" si="1124"/>
        <v>-248</v>
      </c>
      <c r="AY494" s="419">
        <f t="shared" si="1124"/>
        <v>-454</v>
      </c>
      <c r="AZ494" s="1131">
        <f t="shared" si="1125"/>
        <v>-1515</v>
      </c>
      <c r="BA494" s="419">
        <f t="shared" si="1125"/>
        <v>-648</v>
      </c>
      <c r="BB494" s="419">
        <f t="shared" si="1126"/>
        <v>-303</v>
      </c>
      <c r="BC494" s="419">
        <f t="shared" si="1126"/>
        <v>-272</v>
      </c>
      <c r="BD494" s="419">
        <f t="shared" si="1127"/>
        <v>-243</v>
      </c>
      <c r="BE494" s="1131">
        <f t="shared" si="1128"/>
        <v>-1466</v>
      </c>
      <c r="BF494" s="419">
        <f t="shared" si="1128"/>
        <v>-605</v>
      </c>
      <c r="BG494" s="419">
        <f t="shared" si="1129"/>
        <v>-473</v>
      </c>
      <c r="BH494" s="464">
        <f t="shared" si="1130"/>
        <v>-305</v>
      </c>
      <c r="BI494" s="171"/>
      <c r="BJ494" s="1133">
        <f t="shared" si="1131"/>
        <v>-1383</v>
      </c>
      <c r="BK494" s="171"/>
      <c r="BL494" s="171"/>
      <c r="BM494" s="171"/>
      <c r="BN494" s="171"/>
      <c r="BO494" s="1133">
        <f t="shared" si="1132"/>
        <v>0</v>
      </c>
      <c r="BP494" s="1131"/>
      <c r="BQ494" s="1131"/>
      <c r="BR494" s="1133"/>
      <c r="BS494" s="119"/>
    </row>
    <row r="495" spans="1:71" s="680" customFormat="1" ht="15">
      <c r="A495" s="420" t="str">
        <f t="shared" si="1106"/>
        <v>Managed investment entities - proceeds from sales and redemptions of investments</v>
      </c>
      <c r="B495" s="171"/>
      <c r="C495" s="1131">
        <f t="shared" si="1135"/>
        <v>0</v>
      </c>
      <c r="D495" s="1131">
        <f t="shared" si="1135"/>
        <v>1018</v>
      </c>
      <c r="E495" s="1131">
        <f t="shared" si="1135"/>
        <v>1391</v>
      </c>
      <c r="F495" s="1131">
        <f t="shared" si="1135"/>
        <v>1857</v>
      </c>
      <c r="G495" s="1131">
        <f t="shared" si="1135"/>
        <v>1904</v>
      </c>
      <c r="H495" s="419">
        <f t="shared" si="1135"/>
        <v>442</v>
      </c>
      <c r="I495" s="419">
        <f t="shared" si="1108"/>
        <v>371</v>
      </c>
      <c r="J495" s="419">
        <f t="shared" si="1108"/>
        <v>340</v>
      </c>
      <c r="K495" s="419">
        <f t="shared" si="1108"/>
        <v>264</v>
      </c>
      <c r="L495" s="1131">
        <f t="shared" si="1109"/>
        <v>1417</v>
      </c>
      <c r="M495" s="419">
        <f t="shared" si="1109"/>
        <v>149</v>
      </c>
      <c r="N495" s="419">
        <f t="shared" si="1110"/>
        <v>290</v>
      </c>
      <c r="O495" s="419">
        <f t="shared" si="1110"/>
        <v>246</v>
      </c>
      <c r="P495" s="419">
        <f t="shared" si="1110"/>
        <v>170</v>
      </c>
      <c r="Q495" s="1131">
        <f t="shared" si="1111"/>
        <v>855</v>
      </c>
      <c r="R495" s="419">
        <f t="shared" si="1111"/>
        <v>290</v>
      </c>
      <c r="S495" s="419">
        <f t="shared" si="1112"/>
        <v>481</v>
      </c>
      <c r="T495" s="419">
        <f t="shared" si="1112"/>
        <v>610</v>
      </c>
      <c r="U495" s="419">
        <f t="shared" si="1112"/>
        <v>509</v>
      </c>
      <c r="V495" s="1131">
        <f t="shared" si="1113"/>
        <v>1890</v>
      </c>
      <c r="W495" s="419">
        <f t="shared" si="1113"/>
        <v>1058</v>
      </c>
      <c r="X495" s="419">
        <f t="shared" si="1114"/>
        <v>680</v>
      </c>
      <c r="Y495" s="419">
        <f t="shared" si="1114"/>
        <v>605</v>
      </c>
      <c r="Z495" s="419">
        <f t="shared" si="1114"/>
        <v>431</v>
      </c>
      <c r="AA495" s="1131">
        <f t="shared" si="1115"/>
        <v>2774</v>
      </c>
      <c r="AB495" s="419">
        <f t="shared" si="1115"/>
        <v>478</v>
      </c>
      <c r="AC495" s="419">
        <f t="shared" si="1116"/>
        <v>557</v>
      </c>
      <c r="AD495" s="419">
        <f t="shared" si="1116"/>
        <v>450</v>
      </c>
      <c r="AE495" s="419">
        <f t="shared" si="1116"/>
        <v>463</v>
      </c>
      <c r="AF495" s="1131">
        <f t="shared" si="1117"/>
        <v>1948</v>
      </c>
      <c r="AG495" s="419">
        <f t="shared" si="1117"/>
        <v>373</v>
      </c>
      <c r="AH495" s="419">
        <f t="shared" si="1118"/>
        <v>329</v>
      </c>
      <c r="AI495" s="419">
        <f t="shared" si="1118"/>
        <v>379</v>
      </c>
      <c r="AJ495" s="419">
        <f t="shared" si="1118"/>
        <v>328</v>
      </c>
      <c r="AK495" s="1131">
        <f t="shared" si="1119"/>
        <v>1409</v>
      </c>
      <c r="AL495" s="419">
        <f t="shared" si="1119"/>
        <v>370</v>
      </c>
      <c r="AM495" s="419">
        <f t="shared" si="1120"/>
        <v>170</v>
      </c>
      <c r="AN495" s="419">
        <f t="shared" si="1120"/>
        <v>278</v>
      </c>
      <c r="AO495" s="419">
        <f t="shared" si="1120"/>
        <v>403</v>
      </c>
      <c r="AP495" s="1131">
        <f t="shared" si="1121"/>
        <v>1221</v>
      </c>
      <c r="AQ495" s="419">
        <f t="shared" si="1121"/>
        <v>557</v>
      </c>
      <c r="AR495" s="419">
        <f t="shared" si="1122"/>
        <v>504</v>
      </c>
      <c r="AS495" s="419">
        <f t="shared" si="1122"/>
        <v>518</v>
      </c>
      <c r="AT495" s="419">
        <f t="shared" si="1122"/>
        <v>533</v>
      </c>
      <c r="AU495" s="1131">
        <f t="shared" si="1123"/>
        <v>2112</v>
      </c>
      <c r="AV495" s="419">
        <f t="shared" si="1123"/>
        <v>217</v>
      </c>
      <c r="AW495" s="419">
        <f t="shared" si="1124"/>
        <v>351</v>
      </c>
      <c r="AX495" s="419">
        <f t="shared" si="1124"/>
        <v>233</v>
      </c>
      <c r="AY495" s="419">
        <f t="shared" si="1124"/>
        <v>534</v>
      </c>
      <c r="AZ495" s="1131">
        <f t="shared" si="1125"/>
        <v>1335</v>
      </c>
      <c r="BA495" s="419">
        <f t="shared" si="1125"/>
        <v>554</v>
      </c>
      <c r="BB495" s="419">
        <f t="shared" si="1126"/>
        <v>550</v>
      </c>
      <c r="BC495" s="419">
        <f t="shared" si="1126"/>
        <v>728</v>
      </c>
      <c r="BD495" s="419">
        <f t="shared" si="1127"/>
        <v>396</v>
      </c>
      <c r="BE495" s="1131">
        <f t="shared" si="1128"/>
        <v>2228</v>
      </c>
      <c r="BF495" s="419">
        <f t="shared" si="1128"/>
        <v>532</v>
      </c>
      <c r="BG495" s="419">
        <f t="shared" si="1129"/>
        <v>603</v>
      </c>
      <c r="BH495" s="464">
        <f t="shared" si="1130"/>
        <v>452</v>
      </c>
      <c r="BI495" s="171"/>
      <c r="BJ495" s="1133">
        <f t="shared" si="1131"/>
        <v>1587</v>
      </c>
      <c r="BK495" s="171"/>
      <c r="BL495" s="171"/>
      <c r="BM495" s="171"/>
      <c r="BN495" s="171"/>
      <c r="BO495" s="1133">
        <f t="shared" si="1132"/>
        <v>0</v>
      </c>
      <c r="BP495" s="1131"/>
      <c r="BQ495" s="1131"/>
      <c r="BR495" s="1133"/>
      <c r="BS495" s="119"/>
    </row>
    <row r="496" spans="1:71" s="680" customFormat="1" ht="15">
      <c r="A496" s="598" t="str">
        <f t="shared" si="1106"/>
        <v>Other investing activities, net</v>
      </c>
      <c r="B496" s="363"/>
      <c r="C496" s="1134">
        <f t="shared" si="1135"/>
        <v>-63</v>
      </c>
      <c r="D496" s="1134">
        <f t="shared" si="1135"/>
        <v>8</v>
      </c>
      <c r="E496" s="1134">
        <f t="shared" si="1135"/>
        <v>-14</v>
      </c>
      <c r="F496" s="1134">
        <f t="shared" si="1135"/>
        <v>-23</v>
      </c>
      <c r="G496" s="1134">
        <f t="shared" si="1135"/>
        <v>8</v>
      </c>
      <c r="H496" s="363">
        <f t="shared" si="1135"/>
        <v>12</v>
      </c>
      <c r="I496" s="363">
        <f t="shared" si="1108"/>
        <v>43</v>
      </c>
      <c r="J496" s="363">
        <f t="shared" si="1108"/>
        <v>28</v>
      </c>
      <c r="K496" s="363">
        <f t="shared" si="1108"/>
        <v>16</v>
      </c>
      <c r="L496" s="1134">
        <f t="shared" si="1109"/>
        <v>99</v>
      </c>
      <c r="M496" s="363">
        <f t="shared" si="1109"/>
        <v>-54</v>
      </c>
      <c r="N496" s="363">
        <f t="shared" si="1110"/>
        <v>-4</v>
      </c>
      <c r="O496" s="363">
        <f t="shared" si="1110"/>
        <v>-42</v>
      </c>
      <c r="P496" s="363">
        <f t="shared" si="1110"/>
        <v>90</v>
      </c>
      <c r="Q496" s="1134">
        <f t="shared" si="1111"/>
        <v>-10</v>
      </c>
      <c r="R496" s="363">
        <f t="shared" si="1111"/>
        <v>-63</v>
      </c>
      <c r="S496" s="363">
        <f t="shared" si="1112"/>
        <v>-219</v>
      </c>
      <c r="T496" s="363">
        <f t="shared" si="1112"/>
        <v>-88</v>
      </c>
      <c r="U496" s="363">
        <f t="shared" si="1112"/>
        <v>287</v>
      </c>
      <c r="V496" s="1134">
        <f t="shared" si="1113"/>
        <v>-83</v>
      </c>
      <c r="W496" s="363">
        <f t="shared" si="1113"/>
        <v>1</v>
      </c>
      <c r="X496" s="363">
        <f t="shared" si="1114"/>
        <v>6</v>
      </c>
      <c r="Y496" s="363">
        <f t="shared" si="1114"/>
        <v>-1</v>
      </c>
      <c r="Z496" s="363">
        <f t="shared" si="1114"/>
        <v>-4</v>
      </c>
      <c r="AA496" s="1134">
        <f t="shared" si="1115"/>
        <v>2</v>
      </c>
      <c r="AB496" s="363">
        <f t="shared" si="1115"/>
        <v>16</v>
      </c>
      <c r="AC496" s="363">
        <f t="shared" si="1116"/>
        <v>-5</v>
      </c>
      <c r="AD496" s="363">
        <f t="shared" si="1116"/>
        <v>-7</v>
      </c>
      <c r="AE496" s="363">
        <f t="shared" si="1116"/>
        <v>26</v>
      </c>
      <c r="AF496" s="1134">
        <f t="shared" si="1117"/>
        <v>30</v>
      </c>
      <c r="AG496" s="363">
        <f t="shared" si="1117"/>
        <v>1</v>
      </c>
      <c r="AH496" s="363">
        <f t="shared" si="1118"/>
        <v>-1</v>
      </c>
      <c r="AI496" s="363">
        <f t="shared" si="1118"/>
        <v>1</v>
      </c>
      <c r="AJ496" s="363">
        <f t="shared" si="1118"/>
        <v>-4</v>
      </c>
      <c r="AK496" s="1134">
        <f t="shared" si="1119"/>
        <v>-3</v>
      </c>
      <c r="AL496" s="363">
        <f t="shared" si="1119"/>
        <v>2</v>
      </c>
      <c r="AM496" s="363">
        <f t="shared" si="1120"/>
        <v>6</v>
      </c>
      <c r="AN496" s="363">
        <f t="shared" si="1120"/>
        <v>2</v>
      </c>
      <c r="AO496" s="363">
        <f t="shared" si="1120"/>
        <v>-11</v>
      </c>
      <c r="AP496" s="1134">
        <f t="shared" si="1121"/>
        <v>-1</v>
      </c>
      <c r="AQ496" s="363">
        <f t="shared" si="1121"/>
        <v>3</v>
      </c>
      <c r="AR496" s="363">
        <f t="shared" si="1122"/>
        <v>18</v>
      </c>
      <c r="AS496" s="363">
        <f t="shared" si="1122"/>
        <v>11</v>
      </c>
      <c r="AT496" s="363">
        <f t="shared" si="1122"/>
        <v>0</v>
      </c>
      <c r="AU496" s="1134">
        <f t="shared" si="1123"/>
        <v>32</v>
      </c>
      <c r="AV496" s="363">
        <f t="shared" si="1123"/>
        <v>-5</v>
      </c>
      <c r="AW496" s="363">
        <f t="shared" si="1124"/>
        <v>1</v>
      </c>
      <c r="AX496" s="363">
        <f t="shared" si="1124"/>
        <v>-2</v>
      </c>
      <c r="AY496" s="363">
        <f t="shared" si="1124"/>
        <v>2</v>
      </c>
      <c r="AZ496" s="1134">
        <f t="shared" si="1125"/>
        <v>-4</v>
      </c>
      <c r="BA496" s="363">
        <f t="shared" si="1125"/>
        <v>0</v>
      </c>
      <c r="BB496" s="363">
        <f t="shared" si="1126"/>
        <v>-2</v>
      </c>
      <c r="BC496" s="363">
        <f t="shared" si="1126"/>
        <v>-4</v>
      </c>
      <c r="BD496" s="363">
        <f t="shared" si="1127"/>
        <v>0</v>
      </c>
      <c r="BE496" s="1134">
        <f t="shared" si="1128"/>
        <v>-6</v>
      </c>
      <c r="BF496" s="363">
        <f t="shared" si="1128"/>
        <v>0</v>
      </c>
      <c r="BG496" s="363">
        <f t="shared" si="1129"/>
        <v>-1</v>
      </c>
      <c r="BH496" s="773">
        <f t="shared" si="1130"/>
        <v>-5</v>
      </c>
      <c r="BI496" s="363">
        <f>-(BI170-BH170)</f>
        <v>-58.840000000000146</v>
      </c>
      <c r="BJ496" s="1134">
        <f t="shared" si="1131"/>
        <v>-64.840000000000146</v>
      </c>
      <c r="BK496" s="363">
        <f>-(BK170-BJ170)</f>
        <v>-90.307103825136664</v>
      </c>
      <c r="BL496" s="363">
        <f>-(BL170-BK170)</f>
        <v>-36.720000000000027</v>
      </c>
      <c r="BM496" s="363">
        <f>-(BM170-BL170)</f>
        <v>-34.020000000000209</v>
      </c>
      <c r="BN496" s="363">
        <f>-(BN170-BM170)</f>
        <v>-63.547199999999975</v>
      </c>
      <c r="BO496" s="1134">
        <f t="shared" si="1132"/>
        <v>-224.59430382513688</v>
      </c>
      <c r="BP496" s="1134">
        <f>-(BP170-BO170)</f>
        <v>-163.0650350465753</v>
      </c>
      <c r="BQ496" s="1134">
        <f>-(BQ170-BP170)</f>
        <v>-176.11023785030147</v>
      </c>
      <c r="BR496" s="1134">
        <f>-(BR170-BQ170)</f>
        <v>-190.19905687832579</v>
      </c>
      <c r="BS496" s="119"/>
    </row>
    <row r="497" spans="1:71" s="681" customFormat="1" ht="15">
      <c r="A497" s="607" t="str">
        <f t="shared" si="1106"/>
        <v>Net CFI</v>
      </c>
      <c r="B497" s="516"/>
      <c r="C497" s="1139">
        <f t="shared" si="1138" ref="C497:AK497">SUM(C479:C496)</f>
        <v>-783</v>
      </c>
      <c r="D497" s="1139">
        <f t="shared" si="1138"/>
        <v>-1705</v>
      </c>
      <c r="E497" s="1139">
        <f t="shared" si="1138"/>
        <v>-2439</v>
      </c>
      <c r="F497" s="1139">
        <f t="shared" si="1138"/>
        <v>-1425</v>
      </c>
      <c r="G497" s="1139">
        <f t="shared" si="1138"/>
        <v>-2915</v>
      </c>
      <c r="H497" s="596">
        <f t="shared" si="1138"/>
        <v>-426</v>
      </c>
      <c r="I497" s="596">
        <f t="shared" si="1138"/>
        <v>-544</v>
      </c>
      <c r="J497" s="596">
        <f t="shared" si="1138"/>
        <v>-1465</v>
      </c>
      <c r="K497" s="596">
        <f t="shared" si="1138"/>
        <v>-1184</v>
      </c>
      <c r="L497" s="1139">
        <f t="shared" si="1138"/>
        <v>-3619</v>
      </c>
      <c r="M497" s="596">
        <f t="shared" si="1138"/>
        <v>-968</v>
      </c>
      <c r="N497" s="596">
        <f t="shared" si="1138"/>
        <v>-1146</v>
      </c>
      <c r="O497" s="596">
        <f t="shared" si="1138"/>
        <v>-1301</v>
      </c>
      <c r="P497" s="596">
        <f t="shared" si="1138"/>
        <v>-1158</v>
      </c>
      <c r="Q497" s="1139">
        <f t="shared" si="1138"/>
        <v>-4573</v>
      </c>
      <c r="R497" s="596">
        <f t="shared" si="1138"/>
        <v>-1269</v>
      </c>
      <c r="S497" s="596">
        <f t="shared" si="1138"/>
        <v>-478</v>
      </c>
      <c r="T497" s="596">
        <f t="shared" si="1138"/>
        <v>-699</v>
      </c>
      <c r="U497" s="596">
        <f t="shared" si="1138"/>
        <v>-535</v>
      </c>
      <c r="V497" s="1139">
        <f t="shared" si="1138"/>
        <v>-2981</v>
      </c>
      <c r="W497" s="596">
        <f t="shared" si="1138"/>
        <v>-1194</v>
      </c>
      <c r="X497" s="596">
        <f t="shared" si="1138"/>
        <v>-800</v>
      </c>
      <c r="Y497" s="596">
        <f t="shared" si="1138"/>
        <v>-236</v>
      </c>
      <c r="Z497" s="596">
        <f t="shared" si="1138"/>
        <v>-1062</v>
      </c>
      <c r="AA497" s="1139">
        <f t="shared" si="1138"/>
        <v>-3292</v>
      </c>
      <c r="AB497" s="596">
        <f t="shared" si="1138"/>
        <v>-1656</v>
      </c>
      <c r="AC497" s="596">
        <f t="shared" si="1138"/>
        <v>-829</v>
      </c>
      <c r="AD497" s="596">
        <f t="shared" si="1138"/>
        <v>-890</v>
      </c>
      <c r="AE497" s="596">
        <f t="shared" si="1138"/>
        <v>-1975</v>
      </c>
      <c r="AF497" s="1139">
        <f t="shared" si="1138"/>
        <v>-5350</v>
      </c>
      <c r="AG497" s="596">
        <f t="shared" si="1138"/>
        <v>-684</v>
      </c>
      <c r="AH497" s="596">
        <f t="shared" si="1138"/>
        <v>-368</v>
      </c>
      <c r="AI497" s="596">
        <f t="shared" si="1138"/>
        <v>-726</v>
      </c>
      <c r="AJ497" s="596">
        <f t="shared" si="1138"/>
        <v>-1287</v>
      </c>
      <c r="AK497" s="1139">
        <f t="shared" si="1138"/>
        <v>-3065</v>
      </c>
      <c r="AL497" s="596">
        <f t="shared" si="1139" ref="AL497:AQ497">SUM(AL479:AL496)</f>
        <v>-1653</v>
      </c>
      <c r="AM497" s="596">
        <f t="shared" si="1139"/>
        <v>357</v>
      </c>
      <c r="AN497" s="596">
        <f t="shared" si="1139"/>
        <v>524</v>
      </c>
      <c r="AO497" s="596">
        <f t="shared" si="1139"/>
        <v>-792</v>
      </c>
      <c r="AP497" s="1139">
        <f t="shared" si="1139"/>
        <v>-1564</v>
      </c>
      <c r="AQ497" s="596">
        <f t="shared" si="1139"/>
        <v>-938</v>
      </c>
      <c r="AR497" s="596">
        <f t="shared" si="1140" ref="AR497:AZ497">SUM(AR479:AR496)</f>
        <v>1599</v>
      </c>
      <c r="AS497" s="596">
        <f t="shared" si="1140"/>
        <v>-764</v>
      </c>
      <c r="AT497" s="596">
        <f t="shared" si="1140"/>
        <v>-333</v>
      </c>
      <c r="AU497" s="1139">
        <f t="shared" si="1140"/>
        <v>-436</v>
      </c>
      <c r="AV497" s="596">
        <f t="shared" si="1140"/>
        <v>-1111</v>
      </c>
      <c r="AW497" s="596">
        <f t="shared" si="1140"/>
        <v>610</v>
      </c>
      <c r="AX497" s="596">
        <f t="shared" si="1140"/>
        <v>-561</v>
      </c>
      <c r="AY497" s="596">
        <f t="shared" si="1140"/>
        <v>11</v>
      </c>
      <c r="AZ497" s="1139">
        <f t="shared" si="1140"/>
        <v>-1051</v>
      </c>
      <c r="BA497" s="596">
        <f t="shared" si="1141" ref="BA497:BB497">SUM(BA479:BA496)</f>
        <v>73</v>
      </c>
      <c r="BB497" s="596">
        <f t="shared" si="1141"/>
        <v>295</v>
      </c>
      <c r="BC497" s="596">
        <f>SUM(BC479:BC496)</f>
        <v>91</v>
      </c>
      <c r="BD497" s="596">
        <f t="shared" si="1142" ref="BD497:BJ497">SUM(BD479:BD496)</f>
        <v>-45</v>
      </c>
      <c r="BE497" s="1139">
        <f t="shared" si="1142"/>
        <v>414</v>
      </c>
      <c r="BF497" s="596">
        <f>SUM(BF479:BF496)</f>
        <v>-155</v>
      </c>
      <c r="BG497" s="596">
        <f>SUM(BG479:BG496)</f>
        <v>149</v>
      </c>
      <c r="BH497" s="901">
        <f>SUM(BH479:BH496)</f>
        <v>122</v>
      </c>
      <c r="BI497" s="596">
        <f>SUM(BI479:BI496)</f>
        <v>60.554999999998927</v>
      </c>
      <c r="BJ497" s="1139">
        <f t="shared" si="1142"/>
        <v>176.55499999999893</v>
      </c>
      <c r="BK497" s="596">
        <f t="shared" si="1143" ref="BK497:BR497">SUM(BK479:BK496)</f>
        <v>-332.48254098360826</v>
      </c>
      <c r="BL497" s="596">
        <f t="shared" si="1143"/>
        <v>-48.274999999999991</v>
      </c>
      <c r="BM497" s="596">
        <f t="shared" si="1143"/>
        <v>-128.86499999999856</v>
      </c>
      <c r="BN497" s="596">
        <f t="shared" si="1143"/>
        <v>40.293549999997708</v>
      </c>
      <c r="BO497" s="1139">
        <f t="shared" si="1143"/>
        <v>-469.32899098360923</v>
      </c>
      <c r="BP497" s="1139">
        <f t="shared" si="1143"/>
        <v>-450.97750674568488</v>
      </c>
      <c r="BQ497" s="1139">
        <f t="shared" si="1143"/>
        <v>-479.60001067807787</v>
      </c>
      <c r="BR497" s="1139">
        <f t="shared" si="1143"/>
        <v>-510.0011370820684</v>
      </c>
      <c r="BS497" s="124"/>
    </row>
    <row r="498" spans="1:71" s="681" customFormat="1" ht="15">
      <c r="A498" s="485"/>
      <c r="B498" s="509"/>
      <c r="C498" s="1147"/>
      <c r="D498" s="1147"/>
      <c r="E498" s="1147"/>
      <c r="F498" s="1147"/>
      <c r="G498" s="1147"/>
      <c r="H498" s="426"/>
      <c r="I498" s="426"/>
      <c r="J498" s="426"/>
      <c r="K498" s="426"/>
      <c r="L498" s="1147"/>
      <c r="M498" s="426"/>
      <c r="N498" s="426"/>
      <c r="O498" s="426"/>
      <c r="P498" s="426"/>
      <c r="Q498" s="1147"/>
      <c r="R498" s="426"/>
      <c r="S498" s="426"/>
      <c r="T498" s="426"/>
      <c r="U498" s="426"/>
      <c r="V498" s="1147"/>
      <c r="W498" s="426"/>
      <c r="X498" s="426"/>
      <c r="Y498" s="426"/>
      <c r="Z498" s="426"/>
      <c r="AA498" s="1147"/>
      <c r="AB498" s="426"/>
      <c r="AC498" s="426"/>
      <c r="AD498" s="426"/>
      <c r="AE498" s="426"/>
      <c r="AF498" s="1147"/>
      <c r="AG498" s="426"/>
      <c r="AH498" s="426"/>
      <c r="AI498" s="426"/>
      <c r="AJ498" s="426"/>
      <c r="AK498" s="1147"/>
      <c r="AL498" s="426"/>
      <c r="AM498" s="426"/>
      <c r="AN498" s="426"/>
      <c r="AO498" s="426"/>
      <c r="AP498" s="1147"/>
      <c r="AQ498" s="426"/>
      <c r="AR498" s="426"/>
      <c r="AS498" s="426"/>
      <c r="AT498" s="426"/>
      <c r="AU498" s="1147"/>
      <c r="AV498" s="426"/>
      <c r="AW498" s="426"/>
      <c r="AX498" s="426"/>
      <c r="AY498" s="426"/>
      <c r="AZ498" s="1147"/>
      <c r="BA498" s="426"/>
      <c r="BB498" s="426"/>
      <c r="BC498" s="426"/>
      <c r="BD498" s="426"/>
      <c r="BE498" s="1147"/>
      <c r="BF498" s="426"/>
      <c r="BG498" s="426"/>
      <c r="BH498" s="487"/>
      <c r="BI498" s="159"/>
      <c r="BJ498" s="1148"/>
      <c r="BK498" s="159"/>
      <c r="BL498" s="159"/>
      <c r="BM498" s="159"/>
      <c r="BN498" s="159"/>
      <c r="BO498" s="1148"/>
      <c r="BP498" s="1147"/>
      <c r="BQ498" s="1147"/>
      <c r="BR498" s="1148"/>
      <c r="BS498" s="124"/>
    </row>
    <row r="499" spans="1:71" s="681" customFormat="1" ht="15">
      <c r="A499" s="485" t="str">
        <f t="shared" si="1144" ref="A499:A516">A431</f>
        <v>CFF</v>
      </c>
      <c r="B499" s="509"/>
      <c r="C499" s="1147"/>
      <c r="D499" s="1147"/>
      <c r="E499" s="1147"/>
      <c r="F499" s="1147"/>
      <c r="G499" s="1147"/>
      <c r="H499" s="426"/>
      <c r="I499" s="426"/>
      <c r="J499" s="426"/>
      <c r="K499" s="426"/>
      <c r="L499" s="1147"/>
      <c r="M499" s="426"/>
      <c r="N499" s="426"/>
      <c r="O499" s="426"/>
      <c r="P499" s="426"/>
      <c r="Q499" s="1147"/>
      <c r="R499" s="426"/>
      <c r="S499" s="426"/>
      <c r="T499" s="426"/>
      <c r="U499" s="426"/>
      <c r="V499" s="1147"/>
      <c r="W499" s="426"/>
      <c r="X499" s="426"/>
      <c r="Y499" s="426"/>
      <c r="Z499" s="426"/>
      <c r="AA499" s="1147"/>
      <c r="AB499" s="426"/>
      <c r="AC499" s="426"/>
      <c r="AD499" s="426"/>
      <c r="AE499" s="426"/>
      <c r="AF499" s="1147"/>
      <c r="AG499" s="426"/>
      <c r="AH499" s="426"/>
      <c r="AI499" s="426"/>
      <c r="AJ499" s="426"/>
      <c r="AK499" s="1147"/>
      <c r="AL499" s="426"/>
      <c r="AM499" s="426"/>
      <c r="AN499" s="426"/>
      <c r="AO499" s="426"/>
      <c r="AP499" s="1147"/>
      <c r="AQ499" s="426"/>
      <c r="AR499" s="426"/>
      <c r="AS499" s="426"/>
      <c r="AT499" s="426"/>
      <c r="AU499" s="1147"/>
      <c r="AV499" s="426"/>
      <c r="AW499" s="426"/>
      <c r="AX499" s="426"/>
      <c r="AY499" s="426"/>
      <c r="AZ499" s="1147"/>
      <c r="BA499" s="426"/>
      <c r="BB499" s="426"/>
      <c r="BC499" s="426"/>
      <c r="BD499" s="426"/>
      <c r="BE499" s="1147"/>
      <c r="BF499" s="426"/>
      <c r="BG499" s="426"/>
      <c r="BH499" s="487"/>
      <c r="BI499" s="159"/>
      <c r="BJ499" s="1148"/>
      <c r="BK499" s="159"/>
      <c r="BL499" s="159"/>
      <c r="BM499" s="159"/>
      <c r="BN499" s="159"/>
      <c r="BO499" s="1148"/>
      <c r="BP499" s="1147"/>
      <c r="BQ499" s="1147"/>
      <c r="BR499" s="1148"/>
      <c r="BS499" s="124"/>
    </row>
    <row r="500" spans="1:71" s="680" customFormat="1" ht="15">
      <c r="A500" s="420" t="str">
        <f t="shared" si="1144"/>
        <v>Annuity receipts</v>
      </c>
      <c r="B500" s="171"/>
      <c r="C500" s="1131">
        <f t="shared" si="1145" ref="C500:H509">C432</f>
        <v>1434</v>
      </c>
      <c r="D500" s="1131">
        <f t="shared" si="1145"/>
        <v>2282</v>
      </c>
      <c r="E500" s="1131">
        <f t="shared" si="1145"/>
        <v>3326</v>
      </c>
      <c r="F500" s="1131">
        <f t="shared" si="1145"/>
        <v>2993</v>
      </c>
      <c r="G500" s="1131">
        <f t="shared" si="1145"/>
        <v>4233</v>
      </c>
      <c r="H500" s="419">
        <f t="shared" si="1145"/>
        <v>967</v>
      </c>
      <c r="I500" s="419">
        <f t="shared" si="1146" ref="I500:K515">I432-H432</f>
        <v>949</v>
      </c>
      <c r="J500" s="419">
        <f t="shared" si="1146"/>
        <v>809</v>
      </c>
      <c r="K500" s="419">
        <f t="shared" si="1146"/>
        <v>971</v>
      </c>
      <c r="L500" s="1131">
        <f t="shared" si="1147" ref="L500:M515">L432</f>
        <v>3696</v>
      </c>
      <c r="M500" s="419">
        <f t="shared" si="1147"/>
        <v>813</v>
      </c>
      <c r="N500" s="419">
        <f t="shared" si="1148" ref="N500:P515">N432-M432</f>
        <v>1199</v>
      </c>
      <c r="O500" s="419">
        <f t="shared" si="1148"/>
        <v>1321</v>
      </c>
      <c r="P500" s="419">
        <f t="shared" si="1148"/>
        <v>1152</v>
      </c>
      <c r="Q500" s="1131">
        <f t="shared" si="1149" ref="Q500:R515">Q432</f>
        <v>4485</v>
      </c>
      <c r="R500" s="419">
        <f t="shared" si="1149"/>
        <v>1435</v>
      </c>
      <c r="S500" s="419">
        <f t="shared" si="1150" ref="S500:U515">S432-R432</f>
        <v>1098</v>
      </c>
      <c r="T500" s="419">
        <f t="shared" si="1150"/>
        <v>941</v>
      </c>
      <c r="U500" s="419">
        <f t="shared" si="1150"/>
        <v>1111</v>
      </c>
      <c r="V500" s="1131">
        <f t="shared" si="1151" ref="V500:W515">V432</f>
        <v>4585</v>
      </c>
      <c r="W500" s="419">
        <f t="shared" si="1151"/>
        <v>1290</v>
      </c>
      <c r="X500" s="419">
        <f t="shared" si="1152" ref="X500:Z515">X432-W432</f>
        <v>1266</v>
      </c>
      <c r="Y500" s="419">
        <f t="shared" si="1152"/>
        <v>876</v>
      </c>
      <c r="Z500" s="419">
        <f t="shared" si="1152"/>
        <v>909</v>
      </c>
      <c r="AA500" s="1131">
        <f t="shared" si="1153" ref="AA500:AB515">AA432</f>
        <v>4341</v>
      </c>
      <c r="AB500" s="419">
        <f t="shared" si="1153"/>
        <v>1148</v>
      </c>
      <c r="AC500" s="419">
        <f t="shared" si="1154" ref="AC500:AE515">AC432-AB432</f>
        <v>1399</v>
      </c>
      <c r="AD500" s="419">
        <f t="shared" si="1154"/>
        <v>1378</v>
      </c>
      <c r="AE500" s="419">
        <f t="shared" si="1154"/>
        <v>1707</v>
      </c>
      <c r="AF500" s="1131">
        <f t="shared" si="1155" ref="AF500:AG515">AF432</f>
        <v>5632</v>
      </c>
      <c r="AG500" s="419">
        <f t="shared" si="1155"/>
        <v>1395</v>
      </c>
      <c r="AH500" s="419">
        <f t="shared" si="1156" ref="AH500:AJ515">AH432-AG432</f>
        <v>1349</v>
      </c>
      <c r="AI500" s="419">
        <f t="shared" si="1156"/>
        <v>1077</v>
      </c>
      <c r="AJ500" s="419">
        <f t="shared" si="1156"/>
        <v>1139</v>
      </c>
      <c r="AK500" s="1131">
        <f t="shared" si="1157" ref="AK500:AL515">AK432</f>
        <v>4960</v>
      </c>
      <c r="AL500" s="419">
        <f t="shared" si="1157"/>
        <v>1410</v>
      </c>
      <c r="AM500" s="419">
        <f t="shared" si="1158" ref="AM500:AO515">AM432-AL432</f>
        <v>687</v>
      </c>
      <c r="AN500" s="419">
        <f t="shared" si="1158"/>
        <v>871</v>
      </c>
      <c r="AO500" s="419">
        <f t="shared" si="1158"/>
        <v>1319</v>
      </c>
      <c r="AP500" s="1131">
        <f t="shared" si="1159" ref="AP500:AQ515">AP432</f>
        <v>4287</v>
      </c>
      <c r="AQ500" s="419">
        <f t="shared" si="1159"/>
        <v>1179</v>
      </c>
      <c r="AR500" s="419">
        <f t="shared" si="1160" ref="AR500:AT515">AR432-AQ432</f>
        <v>1224</v>
      </c>
      <c r="AS500" s="419">
        <f t="shared" si="1160"/>
        <v>0</v>
      </c>
      <c r="AT500" s="419">
        <f t="shared" si="1160"/>
        <v>0</v>
      </c>
      <c r="AU500" s="1131">
        <f t="shared" si="1161" ref="AU500:AV515">AU432</f>
        <v>2403</v>
      </c>
      <c r="AV500" s="419">
        <f t="shared" si="1161"/>
        <v>0</v>
      </c>
      <c r="AW500" s="419">
        <f t="shared" si="1162" ref="AW500:AY515">AW432-AV432</f>
        <v>0</v>
      </c>
      <c r="AX500" s="419">
        <f t="shared" si="1162"/>
        <v>0</v>
      </c>
      <c r="AY500" s="419">
        <f t="shared" si="1162"/>
        <v>0</v>
      </c>
      <c r="AZ500" s="1131">
        <f t="shared" si="1163" ref="AZ500:BA515">AZ432</f>
        <v>0</v>
      </c>
      <c r="BA500" s="419">
        <f t="shared" si="1163"/>
        <v>0</v>
      </c>
      <c r="BB500" s="419">
        <f t="shared" si="1164" ref="BB500:BC515">BB432-BA432</f>
        <v>0</v>
      </c>
      <c r="BC500" s="419">
        <f t="shared" si="1164"/>
        <v>0</v>
      </c>
      <c r="BD500" s="419">
        <f t="shared" si="1165" ref="BD500:BD515">BD432-BC432</f>
        <v>0</v>
      </c>
      <c r="BE500" s="1131">
        <f t="shared" si="1166" ref="BE500:BF515">BE432</f>
        <v>0</v>
      </c>
      <c r="BF500" s="419">
        <f t="shared" si="1166"/>
        <v>0</v>
      </c>
      <c r="BG500" s="419">
        <f t="shared" si="1167" ref="BG500:BG515">BG432-BF432</f>
        <v>0</v>
      </c>
      <c r="BH500" s="464">
        <f t="shared" si="1168" ref="BH500:BH515">BH432-BG432</f>
        <v>0</v>
      </c>
      <c r="BI500" s="171"/>
      <c r="BJ500" s="1133">
        <f t="shared" si="1169" ref="BJ500:BJ515">SUM(BF500,BG500,BH500,BI500)</f>
        <v>0</v>
      </c>
      <c r="BK500" s="171"/>
      <c r="BL500" s="171"/>
      <c r="BM500" s="171"/>
      <c r="BN500" s="171"/>
      <c r="BO500" s="1133">
        <f t="shared" si="1170" ref="BO500:BO515">SUM(BK500,BL500,BM500,BN500)</f>
        <v>0</v>
      </c>
      <c r="BP500" s="1131"/>
      <c r="BQ500" s="1131"/>
      <c r="BR500" s="1133"/>
      <c r="BS500" s="119"/>
    </row>
    <row r="501" spans="1:71" s="680" customFormat="1" ht="15">
      <c r="A501" s="420" t="str">
        <f t="shared" si="1144"/>
        <v>Annuity surrenders, benefits and withdrawals</v>
      </c>
      <c r="B501" s="171"/>
      <c r="C501" s="1131">
        <f t="shared" si="1145"/>
        <v>-1273</v>
      </c>
      <c r="D501" s="1131">
        <f t="shared" si="1145"/>
        <v>-1221</v>
      </c>
      <c r="E501" s="1131">
        <f t="shared" si="1145"/>
        <v>-1321</v>
      </c>
      <c r="F501" s="1131">
        <f t="shared" si="1145"/>
        <v>-1504</v>
      </c>
      <c r="G501" s="1131">
        <f t="shared" si="1145"/>
        <v>-1588</v>
      </c>
      <c r="H501" s="419">
        <f t="shared" si="1145"/>
        <v>-395</v>
      </c>
      <c r="I501" s="419">
        <f t="shared" si="1146"/>
        <v>-432</v>
      </c>
      <c r="J501" s="419">
        <f t="shared" si="1146"/>
        <v>-462</v>
      </c>
      <c r="K501" s="419">
        <f t="shared" si="1146"/>
        <v>-484</v>
      </c>
      <c r="L501" s="1131">
        <f t="shared" si="1147"/>
        <v>-1773</v>
      </c>
      <c r="M501" s="419">
        <f t="shared" si="1147"/>
        <v>-443</v>
      </c>
      <c r="N501" s="419">
        <f t="shared" si="1148"/>
        <v>-494</v>
      </c>
      <c r="O501" s="419">
        <f t="shared" si="1148"/>
        <v>-550</v>
      </c>
      <c r="P501" s="419">
        <f t="shared" si="1148"/>
        <v>-538</v>
      </c>
      <c r="Q501" s="1131">
        <f t="shared" si="1149"/>
        <v>-2025</v>
      </c>
      <c r="R501" s="419">
        <f t="shared" si="1149"/>
        <v>-503</v>
      </c>
      <c r="S501" s="419">
        <f t="shared" si="1150"/>
        <v>-615</v>
      </c>
      <c r="T501" s="419">
        <f t="shared" si="1150"/>
        <v>-608</v>
      </c>
      <c r="U501" s="419">
        <f t="shared" si="1150"/>
        <v>-549</v>
      </c>
      <c r="V501" s="1131">
        <f t="shared" si="1151"/>
        <v>-2275</v>
      </c>
      <c r="W501" s="419">
        <f t="shared" si="1151"/>
        <v>-567</v>
      </c>
      <c r="X501" s="419">
        <f t="shared" si="1152"/>
        <v>-594</v>
      </c>
      <c r="Y501" s="419">
        <f t="shared" si="1152"/>
        <v>-564</v>
      </c>
      <c r="Z501" s="419">
        <f t="shared" si="1152"/>
        <v>-680</v>
      </c>
      <c r="AA501" s="1131">
        <f t="shared" si="1153"/>
        <v>-2405</v>
      </c>
      <c r="AB501" s="419">
        <f t="shared" si="1153"/>
        <v>-647</v>
      </c>
      <c r="AC501" s="419">
        <f t="shared" si="1154"/>
        <v>-725</v>
      </c>
      <c r="AD501" s="419">
        <f t="shared" si="1154"/>
        <v>-729</v>
      </c>
      <c r="AE501" s="419">
        <f t="shared" si="1154"/>
        <v>-815</v>
      </c>
      <c r="AF501" s="1131">
        <f t="shared" si="1155"/>
        <v>-2916</v>
      </c>
      <c r="AG501" s="419">
        <f t="shared" si="1155"/>
        <v>-782</v>
      </c>
      <c r="AH501" s="419">
        <f t="shared" si="1156"/>
        <v>-886</v>
      </c>
      <c r="AI501" s="419">
        <f t="shared" si="1156"/>
        <v>-834</v>
      </c>
      <c r="AJ501" s="419">
        <f t="shared" si="1156"/>
        <v>-856</v>
      </c>
      <c r="AK501" s="1131">
        <f t="shared" si="1157"/>
        <v>-3358</v>
      </c>
      <c r="AL501" s="419">
        <f t="shared" si="1157"/>
        <v>-813</v>
      </c>
      <c r="AM501" s="419">
        <f t="shared" si="1158"/>
        <v>-828</v>
      </c>
      <c r="AN501" s="419">
        <f t="shared" si="1158"/>
        <v>-865</v>
      </c>
      <c r="AO501" s="419">
        <f t="shared" si="1158"/>
        <v>-1205</v>
      </c>
      <c r="AP501" s="1131">
        <f t="shared" si="1159"/>
        <v>-3711</v>
      </c>
      <c r="AQ501" s="419">
        <f t="shared" si="1159"/>
        <v>-1148</v>
      </c>
      <c r="AR501" s="419">
        <f t="shared" si="1160"/>
        <v>-783</v>
      </c>
      <c r="AS501" s="419">
        <f t="shared" si="1160"/>
        <v>0</v>
      </c>
      <c r="AT501" s="419">
        <f t="shared" si="1160"/>
        <v>0</v>
      </c>
      <c r="AU501" s="1131">
        <f t="shared" si="1161"/>
        <v>-1931</v>
      </c>
      <c r="AV501" s="419">
        <f t="shared" si="1161"/>
        <v>0</v>
      </c>
      <c r="AW501" s="419">
        <f t="shared" si="1162"/>
        <v>0</v>
      </c>
      <c r="AX501" s="419">
        <f t="shared" si="1162"/>
        <v>0</v>
      </c>
      <c r="AY501" s="419">
        <f t="shared" si="1162"/>
        <v>0</v>
      </c>
      <c r="AZ501" s="1131">
        <f t="shared" si="1163"/>
        <v>0</v>
      </c>
      <c r="BA501" s="419">
        <f t="shared" si="1163"/>
        <v>0</v>
      </c>
      <c r="BB501" s="419">
        <f t="shared" si="1164"/>
        <v>0</v>
      </c>
      <c r="BC501" s="419">
        <f t="shared" si="1164"/>
        <v>0</v>
      </c>
      <c r="BD501" s="419">
        <f t="shared" si="1165"/>
        <v>0</v>
      </c>
      <c r="BE501" s="1131">
        <f t="shared" si="1166"/>
        <v>0</v>
      </c>
      <c r="BF501" s="419">
        <f t="shared" si="1166"/>
        <v>0</v>
      </c>
      <c r="BG501" s="419">
        <f t="shared" si="1167"/>
        <v>0</v>
      </c>
      <c r="BH501" s="464">
        <f t="shared" si="1168"/>
        <v>0</v>
      </c>
      <c r="BI501" s="171"/>
      <c r="BJ501" s="1133">
        <f t="shared" si="1169"/>
        <v>0</v>
      </c>
      <c r="BK501" s="171"/>
      <c r="BL501" s="171"/>
      <c r="BM501" s="171"/>
      <c r="BN501" s="171"/>
      <c r="BO501" s="1133">
        <f t="shared" si="1170"/>
        <v>0</v>
      </c>
      <c r="BP501" s="1131"/>
      <c r="BQ501" s="1131"/>
      <c r="BR501" s="1133"/>
      <c r="BS501" s="119"/>
    </row>
    <row r="502" spans="1:71" s="680" customFormat="1" ht="15">
      <c r="A502" s="420" t="str">
        <f t="shared" si="1144"/>
        <v>Ceded annuity receipts</v>
      </c>
      <c r="B502" s="171"/>
      <c r="C502" s="1131">
        <f t="shared" si="1145"/>
        <v>0</v>
      </c>
      <c r="D502" s="1131">
        <f t="shared" si="1145"/>
        <v>0</v>
      </c>
      <c r="E502" s="1131">
        <f t="shared" si="1145"/>
        <v>0</v>
      </c>
      <c r="F502" s="1131">
        <f t="shared" si="1145"/>
        <v>0</v>
      </c>
      <c r="G502" s="1131">
        <f t="shared" si="1145"/>
        <v>0</v>
      </c>
      <c r="H502" s="419">
        <f t="shared" si="1145"/>
        <v>0</v>
      </c>
      <c r="I502" s="419">
        <f t="shared" si="1146"/>
        <v>0</v>
      </c>
      <c r="J502" s="419">
        <f t="shared" si="1146"/>
        <v>0</v>
      </c>
      <c r="K502" s="419">
        <f t="shared" si="1146"/>
        <v>0</v>
      </c>
      <c r="L502" s="1131">
        <f t="shared" si="1147"/>
        <v>0</v>
      </c>
      <c r="M502" s="419">
        <f t="shared" si="1147"/>
        <v>0</v>
      </c>
      <c r="N502" s="419">
        <f t="shared" si="1148"/>
        <v>0</v>
      </c>
      <c r="O502" s="419">
        <f t="shared" si="1148"/>
        <v>0</v>
      </c>
      <c r="P502" s="419">
        <f t="shared" si="1148"/>
        <v>0</v>
      </c>
      <c r="Q502" s="1131">
        <f t="shared" si="1149"/>
        <v>0</v>
      </c>
      <c r="R502" s="419">
        <f t="shared" si="1149"/>
        <v>0</v>
      </c>
      <c r="S502" s="419">
        <f t="shared" si="1150"/>
        <v>0</v>
      </c>
      <c r="T502" s="419">
        <f t="shared" si="1150"/>
        <v>0</v>
      </c>
      <c r="U502" s="419">
        <f t="shared" si="1150"/>
        <v>0</v>
      </c>
      <c r="V502" s="1131">
        <f t="shared" si="1151"/>
        <v>0</v>
      </c>
      <c r="W502" s="419">
        <f t="shared" si="1151"/>
        <v>0</v>
      </c>
      <c r="X502" s="419">
        <f t="shared" si="1152"/>
        <v>0</v>
      </c>
      <c r="Y502" s="419">
        <f t="shared" si="1152"/>
        <v>0</v>
      </c>
      <c r="Z502" s="419">
        <f t="shared" si="1152"/>
        <v>0</v>
      </c>
      <c r="AA502" s="1131">
        <f t="shared" si="1153"/>
        <v>0</v>
      </c>
      <c r="AB502" s="419">
        <f t="shared" si="1153"/>
        <v>0</v>
      </c>
      <c r="AC502" s="419">
        <f t="shared" si="1154"/>
        <v>0</v>
      </c>
      <c r="AD502" s="419">
        <f t="shared" si="1154"/>
        <v>0</v>
      </c>
      <c r="AE502" s="419">
        <f t="shared" si="1154"/>
        <v>0</v>
      </c>
      <c r="AF502" s="1131">
        <f t="shared" si="1155"/>
        <v>0</v>
      </c>
      <c r="AG502" s="419">
        <f t="shared" si="1155"/>
        <v>0</v>
      </c>
      <c r="AH502" s="419">
        <f t="shared" si="1156"/>
        <v>0</v>
      </c>
      <c r="AI502" s="419">
        <f t="shared" si="1156"/>
        <v>0</v>
      </c>
      <c r="AJ502" s="419">
        <f t="shared" si="1156"/>
        <v>0</v>
      </c>
      <c r="AK502" s="1131">
        <f t="shared" si="1157"/>
        <v>0</v>
      </c>
      <c r="AL502" s="419">
        <f t="shared" si="1157"/>
        <v>0</v>
      </c>
      <c r="AM502" s="419">
        <f t="shared" si="1158"/>
        <v>-78</v>
      </c>
      <c r="AN502" s="419">
        <f t="shared" si="1158"/>
        <v>-168</v>
      </c>
      <c r="AO502" s="419">
        <f t="shared" si="1158"/>
        <v>-246</v>
      </c>
      <c r="AP502" s="1131">
        <f t="shared" si="1159"/>
        <v>-492</v>
      </c>
      <c r="AQ502" s="419">
        <f t="shared" si="1159"/>
        <v>-207</v>
      </c>
      <c r="AR502" s="419">
        <f t="shared" si="1160"/>
        <v>-104</v>
      </c>
      <c r="AS502" s="419">
        <f t="shared" si="1160"/>
        <v>0</v>
      </c>
      <c r="AT502" s="419">
        <f t="shared" si="1160"/>
        <v>0</v>
      </c>
      <c r="AU502" s="1131">
        <f t="shared" si="1161"/>
        <v>-311</v>
      </c>
      <c r="AV502" s="419">
        <f t="shared" si="1161"/>
        <v>0</v>
      </c>
      <c r="AW502" s="419">
        <f t="shared" si="1162"/>
        <v>0</v>
      </c>
      <c r="AX502" s="419">
        <f t="shared" si="1162"/>
        <v>0</v>
      </c>
      <c r="AY502" s="419">
        <f t="shared" si="1162"/>
        <v>0</v>
      </c>
      <c r="AZ502" s="1131">
        <f t="shared" si="1163"/>
        <v>0</v>
      </c>
      <c r="BA502" s="419">
        <f t="shared" si="1163"/>
        <v>0</v>
      </c>
      <c r="BB502" s="419">
        <f t="shared" si="1164"/>
        <v>0</v>
      </c>
      <c r="BC502" s="419">
        <f t="shared" si="1164"/>
        <v>0</v>
      </c>
      <c r="BD502" s="419">
        <f t="shared" si="1165"/>
        <v>0</v>
      </c>
      <c r="BE502" s="1131">
        <f t="shared" si="1166"/>
        <v>0</v>
      </c>
      <c r="BF502" s="419">
        <f t="shared" si="1166"/>
        <v>0</v>
      </c>
      <c r="BG502" s="419">
        <f t="shared" si="1167"/>
        <v>0</v>
      </c>
      <c r="BH502" s="464">
        <f t="shared" si="1168"/>
        <v>0</v>
      </c>
      <c r="BI502" s="171"/>
      <c r="BJ502" s="1133">
        <f t="shared" si="1169"/>
        <v>0</v>
      </c>
      <c r="BK502" s="171"/>
      <c r="BL502" s="171"/>
      <c r="BM502" s="171"/>
      <c r="BN502" s="171"/>
      <c r="BO502" s="1133">
        <f t="shared" si="1170"/>
        <v>0</v>
      </c>
      <c r="BP502" s="1131"/>
      <c r="BQ502" s="1131"/>
      <c r="BR502" s="1133"/>
      <c r="BS502" s="119"/>
    </row>
    <row r="503" spans="1:71" s="680" customFormat="1" ht="15">
      <c r="A503" s="420" t="str">
        <f t="shared" si="1144"/>
        <v>Ceded annuity surrenders, benefits and withdrawals</v>
      </c>
      <c r="B503" s="171"/>
      <c r="C503" s="1131">
        <f t="shared" si="1145"/>
        <v>0</v>
      </c>
      <c r="D503" s="1131">
        <f t="shared" si="1145"/>
        <v>0</v>
      </c>
      <c r="E503" s="1131">
        <f t="shared" si="1145"/>
        <v>0</v>
      </c>
      <c r="F503" s="1131">
        <f t="shared" si="1145"/>
        <v>0</v>
      </c>
      <c r="G503" s="1131">
        <f t="shared" si="1145"/>
        <v>0</v>
      </c>
      <c r="H503" s="419">
        <f t="shared" si="1145"/>
        <v>0</v>
      </c>
      <c r="I503" s="419">
        <f t="shared" si="1146"/>
        <v>0</v>
      </c>
      <c r="J503" s="419">
        <f t="shared" si="1146"/>
        <v>0</v>
      </c>
      <c r="K503" s="419">
        <f t="shared" si="1146"/>
        <v>0</v>
      </c>
      <c r="L503" s="1131">
        <f t="shared" si="1147"/>
        <v>0</v>
      </c>
      <c r="M503" s="419">
        <f t="shared" si="1147"/>
        <v>0</v>
      </c>
      <c r="N503" s="419">
        <f t="shared" si="1148"/>
        <v>0</v>
      </c>
      <c r="O503" s="419">
        <f t="shared" si="1148"/>
        <v>0</v>
      </c>
      <c r="P503" s="419">
        <f t="shared" si="1148"/>
        <v>0</v>
      </c>
      <c r="Q503" s="1131">
        <f t="shared" si="1149"/>
        <v>0</v>
      </c>
      <c r="R503" s="419">
        <f t="shared" si="1149"/>
        <v>0</v>
      </c>
      <c r="S503" s="419">
        <f t="shared" si="1150"/>
        <v>0</v>
      </c>
      <c r="T503" s="419">
        <f t="shared" si="1150"/>
        <v>0</v>
      </c>
      <c r="U503" s="419">
        <f t="shared" si="1150"/>
        <v>0</v>
      </c>
      <c r="V503" s="1131">
        <f t="shared" si="1151"/>
        <v>0</v>
      </c>
      <c r="W503" s="419">
        <f t="shared" si="1151"/>
        <v>0</v>
      </c>
      <c r="X503" s="419">
        <f t="shared" si="1152"/>
        <v>0</v>
      </c>
      <c r="Y503" s="419">
        <f t="shared" si="1152"/>
        <v>0</v>
      </c>
      <c r="Z503" s="419">
        <f t="shared" si="1152"/>
        <v>0</v>
      </c>
      <c r="AA503" s="1131">
        <f t="shared" si="1153"/>
        <v>0</v>
      </c>
      <c r="AB503" s="419">
        <f t="shared" si="1153"/>
        <v>0</v>
      </c>
      <c r="AC503" s="419">
        <f t="shared" si="1154"/>
        <v>0</v>
      </c>
      <c r="AD503" s="419">
        <f t="shared" si="1154"/>
        <v>0</v>
      </c>
      <c r="AE503" s="419">
        <f t="shared" si="1154"/>
        <v>0</v>
      </c>
      <c r="AF503" s="1131">
        <f t="shared" si="1155"/>
        <v>0</v>
      </c>
      <c r="AG503" s="419">
        <f t="shared" si="1155"/>
        <v>0</v>
      </c>
      <c r="AH503" s="419">
        <f t="shared" si="1156"/>
        <v>0</v>
      </c>
      <c r="AI503" s="419">
        <f t="shared" si="1156"/>
        <v>0</v>
      </c>
      <c r="AJ503" s="419">
        <f t="shared" si="1156"/>
        <v>0</v>
      </c>
      <c r="AK503" s="1131">
        <f t="shared" si="1157"/>
        <v>0</v>
      </c>
      <c r="AL503" s="419">
        <f t="shared" si="1157"/>
        <v>0</v>
      </c>
      <c r="AM503" s="419">
        <f t="shared" si="1158"/>
        <v>0</v>
      </c>
      <c r="AN503" s="419">
        <f t="shared" si="1158"/>
        <v>0</v>
      </c>
      <c r="AO503" s="419">
        <f t="shared" si="1158"/>
        <v>206</v>
      </c>
      <c r="AP503" s="1131">
        <f t="shared" si="1159"/>
        <v>206</v>
      </c>
      <c r="AQ503" s="419">
        <f t="shared" si="1159"/>
        <v>167</v>
      </c>
      <c r="AR503" s="419">
        <f t="shared" si="1160"/>
        <v>115</v>
      </c>
      <c r="AS503" s="419">
        <f t="shared" si="1160"/>
        <v>0</v>
      </c>
      <c r="AT503" s="419">
        <f t="shared" si="1160"/>
        <v>0</v>
      </c>
      <c r="AU503" s="1131">
        <f t="shared" si="1161"/>
        <v>282</v>
      </c>
      <c r="AV503" s="419">
        <f t="shared" si="1161"/>
        <v>0</v>
      </c>
      <c r="AW503" s="419">
        <f t="shared" si="1162"/>
        <v>0</v>
      </c>
      <c r="AX503" s="419">
        <f t="shared" si="1162"/>
        <v>0</v>
      </c>
      <c r="AY503" s="419">
        <f t="shared" si="1162"/>
        <v>0</v>
      </c>
      <c r="AZ503" s="1131">
        <f t="shared" si="1163"/>
        <v>0</v>
      </c>
      <c r="BA503" s="419">
        <f t="shared" si="1163"/>
        <v>0</v>
      </c>
      <c r="BB503" s="419">
        <f t="shared" si="1164"/>
        <v>0</v>
      </c>
      <c r="BC503" s="419">
        <f t="shared" si="1164"/>
        <v>0</v>
      </c>
      <c r="BD503" s="419">
        <f t="shared" si="1165"/>
        <v>0</v>
      </c>
      <c r="BE503" s="1131">
        <f t="shared" si="1166"/>
        <v>0</v>
      </c>
      <c r="BF503" s="419">
        <f t="shared" si="1166"/>
        <v>0</v>
      </c>
      <c r="BG503" s="419">
        <f t="shared" si="1167"/>
        <v>0</v>
      </c>
      <c r="BH503" s="464">
        <f t="shared" si="1168"/>
        <v>0</v>
      </c>
      <c r="BI503" s="171"/>
      <c r="BJ503" s="1133">
        <f t="shared" si="1169"/>
        <v>0</v>
      </c>
      <c r="BK503" s="171"/>
      <c r="BL503" s="171"/>
      <c r="BM503" s="171"/>
      <c r="BN503" s="171"/>
      <c r="BO503" s="1133">
        <f t="shared" si="1170"/>
        <v>0</v>
      </c>
      <c r="BP503" s="1131"/>
      <c r="BQ503" s="1131"/>
      <c r="BR503" s="1133"/>
      <c r="BS503" s="119"/>
    </row>
    <row r="504" spans="1:71" s="680" customFormat="1" ht="15">
      <c r="A504" s="420" t="str">
        <f t="shared" si="1144"/>
        <v>Net transfers from variable annuity assets</v>
      </c>
      <c r="B504" s="171"/>
      <c r="C504" s="1131">
        <f t="shared" si="1145"/>
        <v>-10</v>
      </c>
      <c r="D504" s="1131">
        <f t="shared" si="1145"/>
        <v>7</v>
      </c>
      <c r="E504" s="1131">
        <f t="shared" si="1145"/>
        <v>39</v>
      </c>
      <c r="F504" s="1131">
        <f t="shared" si="1145"/>
        <v>36</v>
      </c>
      <c r="G504" s="1131">
        <f t="shared" si="1145"/>
        <v>32</v>
      </c>
      <c r="H504" s="419">
        <f t="shared" si="1145"/>
        <v>6</v>
      </c>
      <c r="I504" s="419">
        <f t="shared" si="1146"/>
        <v>10</v>
      </c>
      <c r="J504" s="419">
        <f t="shared" si="1146"/>
        <v>20</v>
      </c>
      <c r="K504" s="419">
        <f t="shared" si="1146"/>
        <v>7</v>
      </c>
      <c r="L504" s="1131">
        <f t="shared" si="1147"/>
        <v>43</v>
      </c>
      <c r="M504" s="419">
        <f t="shared" si="1147"/>
        <v>10</v>
      </c>
      <c r="N504" s="419">
        <f t="shared" si="1148"/>
        <v>10</v>
      </c>
      <c r="O504" s="419">
        <f t="shared" si="1148"/>
        <v>12</v>
      </c>
      <c r="P504" s="419">
        <f t="shared" si="1148"/>
        <v>11</v>
      </c>
      <c r="Q504" s="1131">
        <f t="shared" si="1149"/>
        <v>43</v>
      </c>
      <c r="R504" s="419">
        <f t="shared" si="1149"/>
        <v>9</v>
      </c>
      <c r="S504" s="419">
        <f t="shared" si="1150"/>
        <v>8</v>
      </c>
      <c r="T504" s="419">
        <f t="shared" si="1150"/>
        <v>12</v>
      </c>
      <c r="U504" s="419">
        <f t="shared" si="1150"/>
        <v>13</v>
      </c>
      <c r="V504" s="1131">
        <f t="shared" si="1151"/>
        <v>42</v>
      </c>
      <c r="W504" s="419">
        <f t="shared" si="1151"/>
        <v>17</v>
      </c>
      <c r="X504" s="419">
        <f t="shared" si="1152"/>
        <v>13</v>
      </c>
      <c r="Y504" s="419">
        <f t="shared" si="1152"/>
        <v>13</v>
      </c>
      <c r="Z504" s="419">
        <f t="shared" si="1152"/>
        <v>11</v>
      </c>
      <c r="AA504" s="1131">
        <f t="shared" si="1153"/>
        <v>54</v>
      </c>
      <c r="AB504" s="419">
        <f t="shared" si="1153"/>
        <v>11</v>
      </c>
      <c r="AC504" s="419">
        <f t="shared" si="1154"/>
        <v>10</v>
      </c>
      <c r="AD504" s="419">
        <f t="shared" si="1154"/>
        <v>14</v>
      </c>
      <c r="AE504" s="419">
        <f t="shared" si="1154"/>
        <v>12</v>
      </c>
      <c r="AF504" s="1131">
        <f t="shared" si="1155"/>
        <v>47</v>
      </c>
      <c r="AG504" s="419">
        <f t="shared" si="1155"/>
        <v>13</v>
      </c>
      <c r="AH504" s="419">
        <f t="shared" si="1156"/>
        <v>15</v>
      </c>
      <c r="AI504" s="419">
        <f t="shared" si="1156"/>
        <v>17</v>
      </c>
      <c r="AJ504" s="419">
        <f t="shared" si="1156"/>
        <v>15</v>
      </c>
      <c r="AK504" s="1131">
        <f t="shared" si="1157"/>
        <v>60</v>
      </c>
      <c r="AL504" s="419">
        <f t="shared" si="1157"/>
        <v>15</v>
      </c>
      <c r="AM504" s="419">
        <f t="shared" si="1158"/>
        <v>13</v>
      </c>
      <c r="AN504" s="419">
        <f t="shared" si="1158"/>
        <v>16</v>
      </c>
      <c r="AO504" s="419">
        <f t="shared" si="1158"/>
        <v>17</v>
      </c>
      <c r="AP504" s="1131">
        <f t="shared" si="1159"/>
        <v>61</v>
      </c>
      <c r="AQ504" s="419">
        <f t="shared" si="1159"/>
        <v>25</v>
      </c>
      <c r="AR504" s="419">
        <f t="shared" si="1160"/>
        <v>9</v>
      </c>
      <c r="AS504" s="419">
        <f t="shared" si="1160"/>
        <v>0</v>
      </c>
      <c r="AT504" s="419">
        <f t="shared" si="1160"/>
        <v>0</v>
      </c>
      <c r="AU504" s="1131">
        <f t="shared" si="1161"/>
        <v>34</v>
      </c>
      <c r="AV504" s="419">
        <f t="shared" si="1161"/>
        <v>0</v>
      </c>
      <c r="AW504" s="419">
        <f t="shared" si="1162"/>
        <v>0</v>
      </c>
      <c r="AX504" s="419">
        <f t="shared" si="1162"/>
        <v>0</v>
      </c>
      <c r="AY504" s="419">
        <f t="shared" si="1162"/>
        <v>0</v>
      </c>
      <c r="AZ504" s="1131">
        <f t="shared" si="1163"/>
        <v>0</v>
      </c>
      <c r="BA504" s="419">
        <f t="shared" si="1163"/>
        <v>0</v>
      </c>
      <c r="BB504" s="419">
        <f t="shared" si="1164"/>
        <v>0</v>
      </c>
      <c r="BC504" s="419">
        <f t="shared" si="1164"/>
        <v>0</v>
      </c>
      <c r="BD504" s="419">
        <f t="shared" si="1165"/>
        <v>0</v>
      </c>
      <c r="BE504" s="1131">
        <f t="shared" si="1166"/>
        <v>0</v>
      </c>
      <c r="BF504" s="419">
        <f t="shared" si="1166"/>
        <v>0</v>
      </c>
      <c r="BG504" s="419">
        <f t="shared" si="1167"/>
        <v>0</v>
      </c>
      <c r="BH504" s="464">
        <f t="shared" si="1168"/>
        <v>0</v>
      </c>
      <c r="BI504" s="171"/>
      <c r="BJ504" s="1133">
        <f t="shared" si="1169"/>
        <v>0</v>
      </c>
      <c r="BK504" s="171"/>
      <c r="BL504" s="171"/>
      <c r="BM504" s="171"/>
      <c r="BN504" s="171"/>
      <c r="BO504" s="1133">
        <f t="shared" si="1170"/>
        <v>0</v>
      </c>
      <c r="BP504" s="1131"/>
      <c r="BQ504" s="1131"/>
      <c r="BR504" s="1133"/>
      <c r="BS504" s="119"/>
    </row>
    <row r="505" spans="1:71" s="680" customFormat="1" ht="15">
      <c r="A505" s="420" t="str">
        <f t="shared" si="1144"/>
        <v>Cash transferred in annuity reinsurance</v>
      </c>
      <c r="B505" s="171"/>
      <c r="C505" s="1131">
        <f t="shared" si="1145"/>
        <v>0</v>
      </c>
      <c r="D505" s="1131">
        <f t="shared" si="1145"/>
        <v>0</v>
      </c>
      <c r="E505" s="1131">
        <f t="shared" si="1145"/>
        <v>0</v>
      </c>
      <c r="F505" s="1131">
        <f t="shared" si="1145"/>
        <v>0</v>
      </c>
      <c r="G505" s="1131">
        <f t="shared" si="1145"/>
        <v>0</v>
      </c>
      <c r="H505" s="419">
        <f t="shared" si="1145"/>
        <v>0</v>
      </c>
      <c r="I505" s="419">
        <f t="shared" si="1146"/>
        <v>0</v>
      </c>
      <c r="J505" s="419">
        <f t="shared" si="1146"/>
        <v>0</v>
      </c>
      <c r="K505" s="419">
        <f t="shared" si="1146"/>
        <v>0</v>
      </c>
      <c r="L505" s="1131">
        <f t="shared" si="1147"/>
        <v>0</v>
      </c>
      <c r="M505" s="419">
        <f t="shared" si="1147"/>
        <v>0</v>
      </c>
      <c r="N505" s="419">
        <f t="shared" si="1148"/>
        <v>0</v>
      </c>
      <c r="O505" s="419">
        <f t="shared" si="1148"/>
        <v>0</v>
      </c>
      <c r="P505" s="419">
        <f t="shared" si="1148"/>
        <v>0</v>
      </c>
      <c r="Q505" s="1131">
        <f t="shared" si="1149"/>
        <v>0</v>
      </c>
      <c r="R505" s="419">
        <f t="shared" si="1149"/>
        <v>0</v>
      </c>
      <c r="S505" s="419">
        <f t="shared" si="1150"/>
        <v>0</v>
      </c>
      <c r="T505" s="419">
        <f t="shared" si="1150"/>
        <v>0</v>
      </c>
      <c r="U505" s="419">
        <f t="shared" si="1150"/>
        <v>0</v>
      </c>
      <c r="V505" s="1131">
        <f t="shared" si="1151"/>
        <v>0</v>
      </c>
      <c r="W505" s="419">
        <f t="shared" si="1151"/>
        <v>0</v>
      </c>
      <c r="X505" s="419">
        <f t="shared" si="1152"/>
        <v>0</v>
      </c>
      <c r="Y505" s="419">
        <f t="shared" si="1152"/>
        <v>0</v>
      </c>
      <c r="Z505" s="419">
        <f t="shared" si="1152"/>
        <v>0</v>
      </c>
      <c r="AA505" s="1131">
        <f t="shared" si="1153"/>
        <v>0</v>
      </c>
      <c r="AB505" s="419">
        <f t="shared" si="1153"/>
        <v>0</v>
      </c>
      <c r="AC505" s="419">
        <f t="shared" si="1154"/>
        <v>0</v>
      </c>
      <c r="AD505" s="419">
        <f t="shared" si="1154"/>
        <v>0</v>
      </c>
      <c r="AE505" s="419">
        <f t="shared" si="1154"/>
        <v>0</v>
      </c>
      <c r="AF505" s="1131">
        <f t="shared" si="1155"/>
        <v>0</v>
      </c>
      <c r="AG505" s="419">
        <f t="shared" si="1155"/>
        <v>0</v>
      </c>
      <c r="AH505" s="419">
        <f t="shared" si="1156"/>
        <v>0</v>
      </c>
      <c r="AI505" s="419">
        <f t="shared" si="1156"/>
        <v>0</v>
      </c>
      <c r="AJ505" s="419">
        <f t="shared" si="1156"/>
        <v>0</v>
      </c>
      <c r="AK505" s="1131">
        <f t="shared" si="1157"/>
        <v>0</v>
      </c>
      <c r="AL505" s="419">
        <f t="shared" si="1157"/>
        <v>0</v>
      </c>
      <c r="AM505" s="419">
        <f t="shared" si="1158"/>
        <v>0</v>
      </c>
      <c r="AN505" s="419">
        <f t="shared" si="1158"/>
        <v>0</v>
      </c>
      <c r="AO505" s="419">
        <f t="shared" si="1158"/>
        <v>-554</v>
      </c>
      <c r="AP505" s="1131">
        <f t="shared" si="1159"/>
        <v>-554</v>
      </c>
      <c r="AQ505" s="419">
        <f t="shared" si="1159"/>
        <v>0</v>
      </c>
      <c r="AR505" s="419">
        <f t="shared" si="1160"/>
        <v>0</v>
      </c>
      <c r="AS505" s="419">
        <f t="shared" si="1160"/>
        <v>0</v>
      </c>
      <c r="AT505" s="419">
        <f t="shared" si="1160"/>
        <v>0</v>
      </c>
      <c r="AU505" s="1131">
        <f t="shared" si="1161"/>
        <v>0</v>
      </c>
      <c r="AV505" s="419">
        <f t="shared" si="1161"/>
        <v>0</v>
      </c>
      <c r="AW505" s="419">
        <f t="shared" si="1162"/>
        <v>0</v>
      </c>
      <c r="AX505" s="419">
        <f t="shared" si="1162"/>
        <v>0</v>
      </c>
      <c r="AY505" s="419">
        <f t="shared" si="1162"/>
        <v>0</v>
      </c>
      <c r="AZ505" s="1131">
        <f t="shared" si="1163"/>
        <v>0</v>
      </c>
      <c r="BA505" s="419">
        <f t="shared" si="1163"/>
        <v>0</v>
      </c>
      <c r="BB505" s="419">
        <f t="shared" si="1164"/>
        <v>0</v>
      </c>
      <c r="BC505" s="419">
        <f t="shared" si="1164"/>
        <v>0</v>
      </c>
      <c r="BD505" s="419">
        <f t="shared" si="1165"/>
        <v>0</v>
      </c>
      <c r="BE505" s="1131">
        <f t="shared" si="1166"/>
        <v>0</v>
      </c>
      <c r="BF505" s="419">
        <f t="shared" si="1166"/>
        <v>0</v>
      </c>
      <c r="BG505" s="419">
        <f t="shared" si="1167"/>
        <v>0</v>
      </c>
      <c r="BH505" s="464">
        <f t="shared" si="1168"/>
        <v>0</v>
      </c>
      <c r="BI505" s="171"/>
      <c r="BJ505" s="1133">
        <f t="shared" si="1169"/>
        <v>0</v>
      </c>
      <c r="BK505" s="171"/>
      <c r="BL505" s="171"/>
      <c r="BM505" s="171"/>
      <c r="BN505" s="171"/>
      <c r="BO505" s="1133">
        <f t="shared" si="1170"/>
        <v>0</v>
      </c>
      <c r="BP505" s="1131"/>
      <c r="BQ505" s="1131"/>
      <c r="BR505" s="1133"/>
      <c r="BS505" s="119"/>
    </row>
    <row r="506" spans="1:71" s="680" customFormat="1" ht="15">
      <c r="A506" s="420" t="str">
        <f t="shared" si="1144"/>
        <v>Additional long-term borrowings</v>
      </c>
      <c r="B506" s="171"/>
      <c r="C506" s="1131">
        <f t="shared" si="1145"/>
        <v>581</v>
      </c>
      <c r="D506" s="1131">
        <f t="shared" si="1145"/>
        <v>159</v>
      </c>
      <c r="E506" s="1131">
        <f t="shared" si="1145"/>
        <v>2</v>
      </c>
      <c r="F506" s="1131">
        <f t="shared" si="1145"/>
        <v>372</v>
      </c>
      <c r="G506" s="1131">
        <f t="shared" si="1145"/>
        <v>0</v>
      </c>
      <c r="H506" s="419">
        <f t="shared" si="1145"/>
        <v>0</v>
      </c>
      <c r="I506" s="419">
        <f t="shared" si="1146"/>
        <v>0</v>
      </c>
      <c r="J506" s="419">
        <f t="shared" si="1146"/>
        <v>145</v>
      </c>
      <c r="K506" s="419">
        <f t="shared" si="1146"/>
        <v>0</v>
      </c>
      <c r="L506" s="1131">
        <f t="shared" si="1147"/>
        <v>145</v>
      </c>
      <c r="M506" s="419">
        <f t="shared" si="1147"/>
        <v>0</v>
      </c>
      <c r="N506" s="419">
        <f t="shared" si="1148"/>
        <v>0</v>
      </c>
      <c r="O506" s="419">
        <f t="shared" si="1148"/>
        <v>0</v>
      </c>
      <c r="P506" s="419">
        <f t="shared" si="1148"/>
        <v>145</v>
      </c>
      <c r="Q506" s="1131">
        <f t="shared" si="1149"/>
        <v>145</v>
      </c>
      <c r="R506" s="419">
        <f t="shared" si="1149"/>
        <v>0</v>
      </c>
      <c r="S506" s="419">
        <f t="shared" si="1150"/>
        <v>0</v>
      </c>
      <c r="T506" s="419">
        <f t="shared" si="1150"/>
        <v>302</v>
      </c>
      <c r="U506" s="419">
        <f t="shared" si="1150"/>
        <v>0</v>
      </c>
      <c r="V506" s="1131">
        <f t="shared" si="1151"/>
        <v>302</v>
      </c>
      <c r="W506" s="419">
        <f t="shared" si="1151"/>
        <v>0</v>
      </c>
      <c r="X506" s="419">
        <f t="shared" si="1152"/>
        <v>345</v>
      </c>
      <c r="Y506" s="419">
        <f t="shared" si="1152"/>
        <v>0</v>
      </c>
      <c r="Z506" s="419">
        <f t="shared" si="1152"/>
        <v>367</v>
      </c>
      <c r="AA506" s="1131">
        <f t="shared" si="1153"/>
        <v>712</v>
      </c>
      <c r="AB506" s="419">
        <f t="shared" si="1153"/>
        <v>0</v>
      </c>
      <c r="AC506" s="419">
        <f t="shared" si="1154"/>
        <v>0</v>
      </c>
      <c r="AD506" s="419">
        <f t="shared" si="1154"/>
        <v>0</v>
      </c>
      <c r="AE506" s="419">
        <f t="shared" si="1154"/>
        <v>0</v>
      </c>
      <c r="AF506" s="1131">
        <f t="shared" si="1155"/>
        <v>0</v>
      </c>
      <c r="AG506" s="419">
        <f t="shared" si="1155"/>
        <v>121</v>
      </c>
      <c r="AH506" s="419">
        <f t="shared" si="1156"/>
        <v>0</v>
      </c>
      <c r="AI506" s="419">
        <f t="shared" si="1156"/>
        <v>0</v>
      </c>
      <c r="AJ506" s="419">
        <f t="shared" si="1156"/>
        <v>194</v>
      </c>
      <c r="AK506" s="1131">
        <f t="shared" si="1157"/>
        <v>315</v>
      </c>
      <c r="AL506" s="419">
        <f t="shared" si="1157"/>
        <v>0</v>
      </c>
      <c r="AM506" s="419">
        <f t="shared" si="1158"/>
        <v>439</v>
      </c>
      <c r="AN506" s="419">
        <f t="shared" si="1158"/>
        <v>196</v>
      </c>
      <c r="AO506" s="419">
        <f t="shared" si="1158"/>
        <v>-1</v>
      </c>
      <c r="AP506" s="1131">
        <f t="shared" si="1159"/>
        <v>634</v>
      </c>
      <c r="AQ506" s="419">
        <f t="shared" si="1159"/>
        <v>0</v>
      </c>
      <c r="AR506" s="419">
        <f t="shared" si="1160"/>
        <v>0</v>
      </c>
      <c r="AS506" s="419">
        <f t="shared" si="1160"/>
        <v>0</v>
      </c>
      <c r="AT506" s="419">
        <f t="shared" si="1160"/>
        <v>0</v>
      </c>
      <c r="AU506" s="1131">
        <f t="shared" si="1161"/>
        <v>0</v>
      </c>
      <c r="AV506" s="419">
        <f t="shared" si="1161"/>
        <v>0</v>
      </c>
      <c r="AW506" s="419">
        <f t="shared" si="1162"/>
        <v>0</v>
      </c>
      <c r="AX506" s="419">
        <f t="shared" si="1162"/>
        <v>0</v>
      </c>
      <c r="AY506" s="419">
        <f t="shared" si="1162"/>
        <v>0</v>
      </c>
      <c r="AZ506" s="1131">
        <f t="shared" si="1163"/>
        <v>0</v>
      </c>
      <c r="BA506" s="419">
        <f t="shared" si="1163"/>
        <v>0</v>
      </c>
      <c r="BB506" s="419">
        <f t="shared" si="1164"/>
        <v>0</v>
      </c>
      <c r="BC506" s="419">
        <f t="shared" si="1164"/>
        <v>0</v>
      </c>
      <c r="BD506" s="419">
        <f t="shared" si="1165"/>
        <v>0</v>
      </c>
      <c r="BE506" s="1131">
        <f t="shared" si="1166"/>
        <v>0</v>
      </c>
      <c r="BF506" s="419">
        <f t="shared" si="1166"/>
        <v>0</v>
      </c>
      <c r="BG506" s="419">
        <f t="shared" si="1167"/>
        <v>0</v>
      </c>
      <c r="BH506" s="464">
        <f t="shared" si="1168"/>
        <v>0</v>
      </c>
      <c r="BI506" s="171">
        <f>MAX(0,BI361)</f>
        <v>0</v>
      </c>
      <c r="BJ506" s="1133">
        <f t="shared" si="1169"/>
        <v>0</v>
      </c>
      <c r="BK506" s="171">
        <f>MAX(0,BK361)</f>
        <v>0</v>
      </c>
      <c r="BL506" s="171">
        <f>MAX(0,BL361)</f>
        <v>0</v>
      </c>
      <c r="BM506" s="171">
        <f>MAX(0,BM361)</f>
        <v>0</v>
      </c>
      <c r="BN506" s="171">
        <f>MAX(0,BN361)</f>
        <v>0</v>
      </c>
      <c r="BO506" s="1133">
        <f t="shared" si="1170"/>
        <v>0</v>
      </c>
      <c r="BP506" s="1131">
        <f>MAX(0,BP361)</f>
        <v>0</v>
      </c>
      <c r="BQ506" s="1131">
        <f>MAX(0,BQ361)</f>
        <v>0</v>
      </c>
      <c r="BR506" s="1133">
        <f>MAX(0,BR361)</f>
        <v>0</v>
      </c>
      <c r="BS506" s="119"/>
    </row>
    <row r="507" spans="1:71" s="680" customFormat="1" ht="15">
      <c r="A507" s="420" t="str">
        <f t="shared" si="1144"/>
        <v>Reductions of long-term debt</v>
      </c>
      <c r="B507" s="171"/>
      <c r="C507" s="1131">
        <f t="shared" si="1145"/>
        <v>-785</v>
      </c>
      <c r="D507" s="1131">
        <f t="shared" si="1145"/>
        <v>-39</v>
      </c>
      <c r="E507" s="1131">
        <f t="shared" si="1145"/>
        <v>-20</v>
      </c>
      <c r="F507" s="1131">
        <f t="shared" si="1145"/>
        <v>-365</v>
      </c>
      <c r="G507" s="1131">
        <f t="shared" si="1145"/>
        <v>-40</v>
      </c>
      <c r="H507" s="419">
        <f t="shared" si="1145"/>
        <v>0</v>
      </c>
      <c r="I507" s="419">
        <f t="shared" si="1146"/>
        <v>-1</v>
      </c>
      <c r="J507" s="419">
        <f t="shared" si="1146"/>
        <v>0</v>
      </c>
      <c r="K507" s="419">
        <f t="shared" si="1146"/>
        <v>-1</v>
      </c>
      <c r="L507" s="1131">
        <f t="shared" si="1147"/>
        <v>-2</v>
      </c>
      <c r="M507" s="419">
        <f t="shared" si="1147"/>
        <v>0</v>
      </c>
      <c r="N507" s="419">
        <f t="shared" si="1148"/>
        <v>-37</v>
      </c>
      <c r="O507" s="419">
        <f t="shared" si="1148"/>
        <v>-145</v>
      </c>
      <c r="P507" s="419">
        <f t="shared" si="1148"/>
        <v>-10</v>
      </c>
      <c r="Q507" s="1131">
        <f t="shared" si="1149"/>
        <v>-192</v>
      </c>
      <c r="R507" s="419">
        <f t="shared" si="1149"/>
        <v>0</v>
      </c>
      <c r="S507" s="419">
        <f t="shared" si="1150"/>
        <v>0</v>
      </c>
      <c r="T507" s="419">
        <f t="shared" si="1150"/>
        <v>0</v>
      </c>
      <c r="U507" s="419">
        <f t="shared" si="1150"/>
        <v>-18</v>
      </c>
      <c r="V507" s="1131">
        <f t="shared" si="1151"/>
        <v>-18</v>
      </c>
      <c r="W507" s="419">
        <f t="shared" si="1151"/>
        <v>0</v>
      </c>
      <c r="X507" s="419">
        <f t="shared" si="1152"/>
        <v>-230</v>
      </c>
      <c r="Y507" s="419">
        <f t="shared" si="1152"/>
        <v>-125</v>
      </c>
      <c r="Z507" s="419">
        <f t="shared" si="1152"/>
        <v>-390</v>
      </c>
      <c r="AA507" s="1131">
        <f t="shared" si="1153"/>
        <v>-745</v>
      </c>
      <c r="AB507" s="419">
        <f t="shared" si="1153"/>
        <v>0</v>
      </c>
      <c r="AC507" s="419">
        <f t="shared" si="1154"/>
        <v>0</v>
      </c>
      <c r="AD507" s="419">
        <f t="shared" si="1154"/>
        <v>0</v>
      </c>
      <c r="AE507" s="419">
        <f t="shared" si="1154"/>
        <v>0</v>
      </c>
      <c r="AF507" s="1131">
        <f t="shared" si="1155"/>
        <v>0</v>
      </c>
      <c r="AG507" s="419">
        <f t="shared" si="1155"/>
        <v>0</v>
      </c>
      <c r="AH507" s="419">
        <f t="shared" si="1156"/>
        <v>0</v>
      </c>
      <c r="AI507" s="419">
        <f t="shared" si="1156"/>
        <v>0</v>
      </c>
      <c r="AJ507" s="419">
        <f t="shared" si="1156"/>
        <v>-150</v>
      </c>
      <c r="AK507" s="1131">
        <f t="shared" si="1157"/>
        <v>-150</v>
      </c>
      <c r="AL507" s="419">
        <f t="shared" si="1157"/>
        <v>0</v>
      </c>
      <c r="AM507" s="419">
        <f t="shared" si="1158"/>
        <v>0</v>
      </c>
      <c r="AN507" s="419">
        <f t="shared" si="1158"/>
        <v>0</v>
      </c>
      <c r="AO507" s="419">
        <f t="shared" si="1158"/>
        <v>-150</v>
      </c>
      <c r="AP507" s="1131">
        <f t="shared" si="1159"/>
        <v>-150</v>
      </c>
      <c r="AQ507" s="419">
        <f t="shared" si="1159"/>
        <v>0</v>
      </c>
      <c r="AR507" s="419">
        <f t="shared" si="1160"/>
        <v>0</v>
      </c>
      <c r="AS507" s="419">
        <f t="shared" si="1160"/>
        <v>0</v>
      </c>
      <c r="AT507" s="419">
        <f t="shared" si="1160"/>
        <v>0</v>
      </c>
      <c r="AU507" s="1131">
        <f t="shared" si="1161"/>
        <v>0</v>
      </c>
      <c r="AV507" s="419">
        <f t="shared" si="1161"/>
        <v>-50</v>
      </c>
      <c r="AW507" s="419">
        <f t="shared" si="1162"/>
        <v>-383</v>
      </c>
      <c r="AX507" s="419">
        <f t="shared" si="1162"/>
        <v>-3</v>
      </c>
      <c r="AY507" s="419">
        <f t="shared" si="1162"/>
        <v>-41</v>
      </c>
      <c r="AZ507" s="1131">
        <f t="shared" si="1163"/>
        <v>-477</v>
      </c>
      <c r="BA507" s="419">
        <f t="shared" si="1163"/>
        <v>-16</v>
      </c>
      <c r="BB507" s="419">
        <f t="shared" si="1164"/>
        <v>-5</v>
      </c>
      <c r="BC507" s="419">
        <f t="shared" si="1164"/>
        <v>0</v>
      </c>
      <c r="BD507" s="419">
        <f t="shared" si="1165"/>
        <v>0</v>
      </c>
      <c r="BE507" s="1131">
        <f t="shared" si="1166"/>
        <v>-21</v>
      </c>
      <c r="BF507" s="419">
        <f t="shared" si="1166"/>
        <v>0</v>
      </c>
      <c r="BG507" s="419">
        <f t="shared" si="1167"/>
        <v>0</v>
      </c>
      <c r="BH507" s="464">
        <f t="shared" si="1168"/>
        <v>0</v>
      </c>
      <c r="BI507" s="171">
        <f>MIN(0,BI361)</f>
        <v>0</v>
      </c>
      <c r="BJ507" s="1133">
        <f t="shared" si="1169"/>
        <v>0</v>
      </c>
      <c r="BK507" s="171">
        <f>MIN(0,BK361)</f>
        <v>0</v>
      </c>
      <c r="BL507" s="171">
        <f>MIN(0,BL361)</f>
        <v>0</v>
      </c>
      <c r="BM507" s="171">
        <f>MIN(0,BM361)</f>
        <v>0</v>
      </c>
      <c r="BN507" s="171">
        <f>MIN(0,BN361)</f>
        <v>0</v>
      </c>
      <c r="BO507" s="1133">
        <f t="shared" si="1170"/>
        <v>0</v>
      </c>
      <c r="BP507" s="1131">
        <f>MIN(0,BP361)</f>
        <v>0</v>
      </c>
      <c r="BQ507" s="1131">
        <f>MIN(0,BQ361)</f>
        <v>0</v>
      </c>
      <c r="BR507" s="1133">
        <f>MIN(0,BR361)</f>
        <v>0</v>
      </c>
      <c r="BS507" s="119"/>
    </row>
    <row r="508" spans="1:71" s="680" customFormat="1" ht="15">
      <c r="A508" s="420" t="str">
        <f t="shared" si="1144"/>
        <v>Issuances of managed investment entities’ liabilities</v>
      </c>
      <c r="B508" s="171"/>
      <c r="C508" s="1131">
        <f t="shared" si="1145"/>
        <v>0</v>
      </c>
      <c r="D508" s="1131">
        <f t="shared" si="1145"/>
        <v>0</v>
      </c>
      <c r="E508" s="1131">
        <f t="shared" si="1145"/>
        <v>394</v>
      </c>
      <c r="F508" s="1131">
        <f t="shared" si="1145"/>
        <v>781</v>
      </c>
      <c r="G508" s="1131">
        <f t="shared" si="1145"/>
        <v>1192</v>
      </c>
      <c r="H508" s="419">
        <f t="shared" si="1145"/>
        <v>45</v>
      </c>
      <c r="I508" s="419">
        <f t="shared" si="1146"/>
        <v>155</v>
      </c>
      <c r="J508" s="419">
        <f t="shared" si="1146"/>
        <v>338</v>
      </c>
      <c r="K508" s="419">
        <f t="shared" si="1146"/>
        <v>862</v>
      </c>
      <c r="L508" s="1131">
        <f t="shared" si="1147"/>
        <v>1400</v>
      </c>
      <c r="M508" s="419">
        <f t="shared" si="1147"/>
        <v>103</v>
      </c>
      <c r="N508" s="419">
        <f t="shared" si="1148"/>
        <v>536</v>
      </c>
      <c r="O508" s="419">
        <f t="shared" si="1148"/>
        <v>54</v>
      </c>
      <c r="P508" s="419">
        <f t="shared" si="1148"/>
        <v>333</v>
      </c>
      <c r="Q508" s="1131">
        <f t="shared" si="1149"/>
        <v>1026</v>
      </c>
      <c r="R508" s="419">
        <f t="shared" si="1149"/>
        <v>31</v>
      </c>
      <c r="S508" s="419">
        <f t="shared" si="1150"/>
        <v>997</v>
      </c>
      <c r="T508" s="419">
        <f t="shared" si="1150"/>
        <v>0</v>
      </c>
      <c r="U508" s="419">
        <f t="shared" si="1150"/>
        <v>1265</v>
      </c>
      <c r="V508" s="1131">
        <f t="shared" si="1151"/>
        <v>2293</v>
      </c>
      <c r="W508" s="419">
        <f t="shared" si="1151"/>
        <v>537</v>
      </c>
      <c r="X508" s="419">
        <f t="shared" si="1152"/>
        <v>440</v>
      </c>
      <c r="Y508" s="419">
        <f t="shared" si="1152"/>
        <v>949</v>
      </c>
      <c r="Z508" s="419">
        <f t="shared" si="1152"/>
        <v>805</v>
      </c>
      <c r="AA508" s="1131">
        <f t="shared" si="1153"/>
        <v>2731</v>
      </c>
      <c r="AB508" s="419">
        <f t="shared" si="1153"/>
        <v>775</v>
      </c>
      <c r="AC508" s="419">
        <f t="shared" si="1154"/>
        <v>797</v>
      </c>
      <c r="AD508" s="419">
        <f t="shared" si="1154"/>
        <v>0</v>
      </c>
      <c r="AE508" s="419">
        <f t="shared" si="1154"/>
        <v>411</v>
      </c>
      <c r="AF508" s="1131">
        <f t="shared" si="1155"/>
        <v>1983</v>
      </c>
      <c r="AG508" s="419">
        <f t="shared" si="1155"/>
        <v>0</v>
      </c>
      <c r="AH508" s="419">
        <f t="shared" si="1156"/>
        <v>0</v>
      </c>
      <c r="AI508" s="419">
        <f t="shared" si="1156"/>
        <v>0</v>
      </c>
      <c r="AJ508" s="419">
        <f t="shared" si="1156"/>
        <v>371</v>
      </c>
      <c r="AK508" s="1131">
        <f t="shared" si="1157"/>
        <v>371</v>
      </c>
      <c r="AL508" s="419">
        <f t="shared" si="1157"/>
        <v>0</v>
      </c>
      <c r="AM508" s="419">
        <f t="shared" si="1158"/>
        <v>0</v>
      </c>
      <c r="AN508" s="419">
        <f t="shared" si="1158"/>
        <v>30</v>
      </c>
      <c r="AO508" s="419">
        <f t="shared" si="1158"/>
        <v>399</v>
      </c>
      <c r="AP508" s="1131">
        <f t="shared" si="1159"/>
        <v>429</v>
      </c>
      <c r="AQ508" s="419">
        <f t="shared" si="1159"/>
        <v>752</v>
      </c>
      <c r="AR508" s="419">
        <f t="shared" si="1160"/>
        <v>265</v>
      </c>
      <c r="AS508" s="419">
        <f t="shared" si="1160"/>
        <v>648</v>
      </c>
      <c r="AT508" s="419">
        <f t="shared" si="1160"/>
        <v>1218</v>
      </c>
      <c r="AU508" s="1131">
        <f t="shared" si="1161"/>
        <v>2883</v>
      </c>
      <c r="AV508" s="419">
        <f t="shared" si="1161"/>
        <v>60</v>
      </c>
      <c r="AW508" s="419">
        <f t="shared" si="1162"/>
        <v>559</v>
      </c>
      <c r="AX508" s="419">
        <f t="shared" si="1162"/>
        <v>47</v>
      </c>
      <c r="AY508" s="419">
        <f t="shared" si="1162"/>
        <v>540</v>
      </c>
      <c r="AZ508" s="1131">
        <f t="shared" si="1163"/>
        <v>1206</v>
      </c>
      <c r="BA508" s="419">
        <f t="shared" si="1163"/>
        <v>588</v>
      </c>
      <c r="BB508" s="419">
        <f t="shared" si="1164"/>
        <v>29</v>
      </c>
      <c r="BC508" s="419">
        <f t="shared" si="1164"/>
        <v>4</v>
      </c>
      <c r="BD508" s="419">
        <f t="shared" si="1165"/>
        <v>49</v>
      </c>
      <c r="BE508" s="1131">
        <f t="shared" si="1166"/>
        <v>670</v>
      </c>
      <c r="BF508" s="419">
        <f t="shared" si="1166"/>
        <v>635</v>
      </c>
      <c r="BG508" s="419">
        <f t="shared" si="1167"/>
        <v>1139</v>
      </c>
      <c r="BH508" s="464">
        <f t="shared" si="1168"/>
        <v>-1</v>
      </c>
      <c r="BI508" s="171"/>
      <c r="BJ508" s="1133">
        <f t="shared" si="1169"/>
        <v>1773</v>
      </c>
      <c r="BK508" s="171"/>
      <c r="BL508" s="171"/>
      <c r="BM508" s="171"/>
      <c r="BN508" s="171"/>
      <c r="BO508" s="1133">
        <f t="shared" si="1170"/>
        <v>0</v>
      </c>
      <c r="BP508" s="1131"/>
      <c r="BQ508" s="1131"/>
      <c r="BR508" s="1133"/>
      <c r="BS508" s="119"/>
    </row>
    <row r="509" spans="1:71" s="680" customFormat="1" ht="15">
      <c r="A509" s="420" t="str">
        <f t="shared" si="1144"/>
        <v>Change in securities lending obligation</v>
      </c>
      <c r="B509" s="171"/>
      <c r="C509" s="1131">
        <f t="shared" si="1145"/>
        <v>-95</v>
      </c>
      <c r="D509" s="1131">
        <f t="shared" si="1145"/>
        <v>0</v>
      </c>
      <c r="E509" s="1131">
        <f t="shared" si="1145"/>
        <v>0</v>
      </c>
      <c r="F509" s="1131">
        <f t="shared" si="1145"/>
        <v>0</v>
      </c>
      <c r="G509" s="1131">
        <f t="shared" si="1145"/>
        <v>0</v>
      </c>
      <c r="H509" s="419">
        <f t="shared" si="1145"/>
        <v>0</v>
      </c>
      <c r="I509" s="419">
        <f t="shared" si="1146"/>
        <v>0</v>
      </c>
      <c r="J509" s="419">
        <f t="shared" si="1146"/>
        <v>0</v>
      </c>
      <c r="K509" s="419">
        <f t="shared" si="1146"/>
        <v>0</v>
      </c>
      <c r="L509" s="1131">
        <f t="shared" si="1147"/>
        <v>0</v>
      </c>
      <c r="M509" s="419">
        <f t="shared" si="1147"/>
        <v>0</v>
      </c>
      <c r="N509" s="419">
        <f t="shared" si="1148"/>
        <v>0</v>
      </c>
      <c r="O509" s="419">
        <f t="shared" si="1148"/>
        <v>0</v>
      </c>
      <c r="P509" s="419">
        <f t="shared" si="1148"/>
        <v>0</v>
      </c>
      <c r="Q509" s="1131">
        <f t="shared" si="1149"/>
        <v>0</v>
      </c>
      <c r="R509" s="419">
        <f t="shared" si="1149"/>
        <v>0</v>
      </c>
      <c r="S509" s="419">
        <f t="shared" si="1150"/>
        <v>0</v>
      </c>
      <c r="T509" s="419">
        <f t="shared" si="1150"/>
        <v>0</v>
      </c>
      <c r="U509" s="419">
        <f t="shared" si="1150"/>
        <v>0</v>
      </c>
      <c r="V509" s="1131">
        <f t="shared" si="1151"/>
        <v>0</v>
      </c>
      <c r="W509" s="419">
        <f t="shared" si="1151"/>
        <v>0</v>
      </c>
      <c r="X509" s="419">
        <f t="shared" si="1152"/>
        <v>0</v>
      </c>
      <c r="Y509" s="419">
        <f t="shared" si="1152"/>
        <v>0</v>
      </c>
      <c r="Z509" s="419">
        <f t="shared" si="1152"/>
        <v>0</v>
      </c>
      <c r="AA509" s="1131">
        <f t="shared" si="1153"/>
        <v>0</v>
      </c>
      <c r="AB509" s="419">
        <f t="shared" si="1153"/>
        <v>0</v>
      </c>
      <c r="AC509" s="419">
        <f t="shared" si="1154"/>
        <v>0</v>
      </c>
      <c r="AD509" s="419">
        <f t="shared" si="1154"/>
        <v>0</v>
      </c>
      <c r="AE509" s="419">
        <f t="shared" si="1154"/>
        <v>0</v>
      </c>
      <c r="AF509" s="1131">
        <f t="shared" si="1155"/>
        <v>0</v>
      </c>
      <c r="AG509" s="419">
        <f t="shared" si="1155"/>
        <v>0</v>
      </c>
      <c r="AH509" s="419">
        <f t="shared" si="1156"/>
        <v>0</v>
      </c>
      <c r="AI509" s="419">
        <f t="shared" si="1156"/>
        <v>0</v>
      </c>
      <c r="AJ509" s="419">
        <f t="shared" si="1156"/>
        <v>0</v>
      </c>
      <c r="AK509" s="1131">
        <f t="shared" si="1157"/>
        <v>0</v>
      </c>
      <c r="AL509" s="419">
        <f t="shared" si="1157"/>
        <v>0</v>
      </c>
      <c r="AM509" s="419">
        <f t="shared" si="1158"/>
        <v>0</v>
      </c>
      <c r="AN509" s="419">
        <f t="shared" si="1158"/>
        <v>0</v>
      </c>
      <c r="AO509" s="419">
        <f t="shared" si="1158"/>
        <v>0</v>
      </c>
      <c r="AP509" s="1131">
        <f t="shared" si="1159"/>
        <v>0</v>
      </c>
      <c r="AQ509" s="419">
        <f t="shared" si="1159"/>
        <v>0</v>
      </c>
      <c r="AR509" s="419">
        <f t="shared" si="1160"/>
        <v>0</v>
      </c>
      <c r="AS509" s="419">
        <f t="shared" si="1160"/>
        <v>0</v>
      </c>
      <c r="AT509" s="419">
        <f t="shared" si="1160"/>
        <v>0</v>
      </c>
      <c r="AU509" s="1131">
        <f t="shared" si="1161"/>
        <v>0</v>
      </c>
      <c r="AV509" s="419">
        <f t="shared" si="1161"/>
        <v>0</v>
      </c>
      <c r="AW509" s="419">
        <f t="shared" si="1162"/>
        <v>0</v>
      </c>
      <c r="AX509" s="419">
        <f t="shared" si="1162"/>
        <v>0</v>
      </c>
      <c r="AY509" s="419">
        <f t="shared" si="1162"/>
        <v>0</v>
      </c>
      <c r="AZ509" s="1131">
        <f t="shared" si="1163"/>
        <v>0</v>
      </c>
      <c r="BA509" s="419">
        <f t="shared" si="1163"/>
        <v>0</v>
      </c>
      <c r="BB509" s="419">
        <f t="shared" si="1164"/>
        <v>0</v>
      </c>
      <c r="BC509" s="419">
        <f t="shared" si="1164"/>
        <v>0</v>
      </c>
      <c r="BD509" s="419">
        <f t="shared" si="1165"/>
        <v>0</v>
      </c>
      <c r="BE509" s="1131">
        <f t="shared" si="1166"/>
        <v>0</v>
      </c>
      <c r="BF509" s="419">
        <f t="shared" si="1166"/>
        <v>0</v>
      </c>
      <c r="BG509" s="419">
        <f t="shared" si="1167"/>
        <v>0</v>
      </c>
      <c r="BH509" s="464">
        <f t="shared" si="1168"/>
        <v>0</v>
      </c>
      <c r="BI509" s="171"/>
      <c r="BJ509" s="1133">
        <f t="shared" si="1169"/>
        <v>0</v>
      </c>
      <c r="BK509" s="171"/>
      <c r="BL509" s="171"/>
      <c r="BM509" s="171"/>
      <c r="BN509" s="171"/>
      <c r="BO509" s="1133">
        <f t="shared" si="1170"/>
        <v>0</v>
      </c>
      <c r="BP509" s="1131"/>
      <c r="BQ509" s="1131"/>
      <c r="BR509" s="1133"/>
      <c r="BS509" s="119"/>
    </row>
    <row r="510" spans="1:71" s="680" customFormat="1" ht="15">
      <c r="A510" s="420" t="str">
        <f t="shared" si="1144"/>
        <v>Retirements of managed investment entities’ liabilities</v>
      </c>
      <c r="B510" s="171"/>
      <c r="C510" s="1131">
        <f t="shared" si="1171" ref="C510:H515">C442</f>
        <v>0</v>
      </c>
      <c r="D510" s="1131">
        <f t="shared" si="1171"/>
        <v>-45</v>
      </c>
      <c r="E510" s="1131">
        <f t="shared" si="1171"/>
        <v>-66</v>
      </c>
      <c r="F510" s="1131">
        <f t="shared" si="1171"/>
        <v>-830</v>
      </c>
      <c r="G510" s="1131">
        <f t="shared" si="1171"/>
        <v>-1560</v>
      </c>
      <c r="H510" s="419">
        <f t="shared" si="1171"/>
        <v>-133</v>
      </c>
      <c r="I510" s="419">
        <f t="shared" si="1146"/>
        <v>-164</v>
      </c>
      <c r="J510" s="419">
        <f t="shared" si="1146"/>
        <v>-274</v>
      </c>
      <c r="K510" s="419">
        <f t="shared" si="1146"/>
        <v>-523</v>
      </c>
      <c r="L510" s="1131">
        <f t="shared" si="1147"/>
        <v>-1094</v>
      </c>
      <c r="M510" s="419">
        <f t="shared" si="1147"/>
        <v>-4</v>
      </c>
      <c r="N510" s="419">
        <f t="shared" si="1148"/>
        <v>-188</v>
      </c>
      <c r="O510" s="419">
        <f t="shared" si="1148"/>
        <v>0</v>
      </c>
      <c r="P510" s="419">
        <f t="shared" si="1148"/>
        <v>56</v>
      </c>
      <c r="Q510" s="1131">
        <f t="shared" si="1149"/>
        <v>-136</v>
      </c>
      <c r="R510" s="419">
        <f t="shared" si="1149"/>
        <v>-11</v>
      </c>
      <c r="S510" s="419">
        <f t="shared" si="1150"/>
        <v>-671</v>
      </c>
      <c r="T510" s="419">
        <f t="shared" si="1150"/>
        <v>-65</v>
      </c>
      <c r="U510" s="419">
        <f t="shared" si="1150"/>
        <v>-853</v>
      </c>
      <c r="V510" s="1131">
        <f t="shared" si="1151"/>
        <v>-1600</v>
      </c>
      <c r="W510" s="419">
        <f t="shared" si="1151"/>
        <v>-212</v>
      </c>
      <c r="X510" s="419">
        <f t="shared" si="1152"/>
        <v>-623</v>
      </c>
      <c r="Y510" s="419">
        <f t="shared" si="1152"/>
        <v>-1163</v>
      </c>
      <c r="Z510" s="419">
        <f t="shared" si="1152"/>
        <v>-587</v>
      </c>
      <c r="AA510" s="1131">
        <f t="shared" si="1153"/>
        <v>-2585</v>
      </c>
      <c r="AB510" s="419">
        <f t="shared" si="1153"/>
        <v>-684</v>
      </c>
      <c r="AC510" s="419">
        <f t="shared" si="1154"/>
        <v>-777</v>
      </c>
      <c r="AD510" s="419">
        <f t="shared" si="1154"/>
        <v>-2</v>
      </c>
      <c r="AE510" s="419">
        <f t="shared" si="1154"/>
        <v>-472</v>
      </c>
      <c r="AF510" s="1131">
        <f t="shared" si="1155"/>
        <v>-1935</v>
      </c>
      <c r="AG510" s="419">
        <f t="shared" si="1155"/>
        <v>-3</v>
      </c>
      <c r="AH510" s="419">
        <f t="shared" si="1156"/>
        <v>-2</v>
      </c>
      <c r="AI510" s="419">
        <f t="shared" si="1156"/>
        <v>-3</v>
      </c>
      <c r="AJ510" s="419">
        <f t="shared" si="1156"/>
        <v>-374</v>
      </c>
      <c r="AK510" s="1131">
        <f t="shared" si="1157"/>
        <v>-382</v>
      </c>
      <c r="AL510" s="419">
        <f t="shared" si="1157"/>
        <v>-41</v>
      </c>
      <c r="AM510" s="419">
        <f t="shared" si="1158"/>
        <v>-5</v>
      </c>
      <c r="AN510" s="419">
        <f t="shared" si="1158"/>
        <v>-33</v>
      </c>
      <c r="AO510" s="419">
        <f t="shared" si="1158"/>
        <v>-129</v>
      </c>
      <c r="AP510" s="1131">
        <f t="shared" si="1159"/>
        <v>-208</v>
      </c>
      <c r="AQ510" s="419">
        <f t="shared" si="1159"/>
        <v>-725</v>
      </c>
      <c r="AR510" s="419">
        <f t="shared" si="1160"/>
        <v>-320</v>
      </c>
      <c r="AS510" s="419">
        <f t="shared" si="1160"/>
        <v>-656</v>
      </c>
      <c r="AT510" s="419">
        <f t="shared" si="1160"/>
        <v>-989</v>
      </c>
      <c r="AU510" s="1131">
        <f t="shared" si="1161"/>
        <v>-2690</v>
      </c>
      <c r="AV510" s="419">
        <f t="shared" si="1161"/>
        <v>-136</v>
      </c>
      <c r="AW510" s="419">
        <f t="shared" si="1162"/>
        <v>-289</v>
      </c>
      <c r="AX510" s="419">
        <f t="shared" si="1162"/>
        <v>-136</v>
      </c>
      <c r="AY510" s="419">
        <f t="shared" si="1162"/>
        <v>-321</v>
      </c>
      <c r="AZ510" s="1131">
        <f t="shared" si="1163"/>
        <v>-882</v>
      </c>
      <c r="BA510" s="419">
        <f t="shared" si="1163"/>
        <v>-650</v>
      </c>
      <c r="BB510" s="419">
        <f t="shared" si="1164"/>
        <v>-211</v>
      </c>
      <c r="BC510" s="419">
        <f t="shared" si="1164"/>
        <v>-423</v>
      </c>
      <c r="BD510" s="419">
        <f t="shared" si="1165"/>
        <v>-514</v>
      </c>
      <c r="BE510" s="1131">
        <f t="shared" si="1166"/>
        <v>-1798</v>
      </c>
      <c r="BF510" s="419">
        <f t="shared" si="1166"/>
        <v>-463</v>
      </c>
      <c r="BG510" s="419">
        <f t="shared" si="1167"/>
        <v>-1111</v>
      </c>
      <c r="BH510" s="464">
        <f t="shared" si="1168"/>
        <v>-324</v>
      </c>
      <c r="BI510" s="171"/>
      <c r="BJ510" s="1133">
        <f t="shared" si="1169"/>
        <v>-1898</v>
      </c>
      <c r="BK510" s="171"/>
      <c r="BL510" s="171"/>
      <c r="BM510" s="171"/>
      <c r="BN510" s="171"/>
      <c r="BO510" s="1133">
        <f t="shared" si="1170"/>
        <v>0</v>
      </c>
      <c r="BP510" s="1131"/>
      <c r="BQ510" s="1131"/>
      <c r="BR510" s="1133"/>
      <c r="BS510" s="119"/>
    </row>
    <row r="511" spans="1:71" s="680" customFormat="1" ht="15">
      <c r="A511" s="420" t="str">
        <f t="shared" si="1144"/>
        <v>Issuances of Common Stock</v>
      </c>
      <c r="B511" s="171"/>
      <c r="C511" s="1131">
        <f t="shared" si="1171"/>
        <v>15</v>
      </c>
      <c r="D511" s="1131">
        <f t="shared" si="1171"/>
        <v>32</v>
      </c>
      <c r="E511" s="1131">
        <f t="shared" si="1171"/>
        <v>39</v>
      </c>
      <c r="F511" s="1131">
        <f t="shared" si="1171"/>
        <v>46</v>
      </c>
      <c r="G511" s="1131">
        <f t="shared" si="1171"/>
        <v>54</v>
      </c>
      <c r="H511" s="419">
        <f t="shared" si="1171"/>
        <v>11</v>
      </c>
      <c r="I511" s="419">
        <f t="shared" si="1146"/>
        <v>13</v>
      </c>
      <c r="J511" s="419">
        <f t="shared" si="1146"/>
        <v>11</v>
      </c>
      <c r="K511" s="419">
        <f t="shared" si="1146"/>
        <v>12</v>
      </c>
      <c r="L511" s="1131">
        <f t="shared" si="1147"/>
        <v>47</v>
      </c>
      <c r="M511" s="419">
        <f t="shared" si="1147"/>
        <v>19</v>
      </c>
      <c r="N511" s="419">
        <f t="shared" si="1148"/>
        <v>15</v>
      </c>
      <c r="O511" s="419">
        <f t="shared" si="1148"/>
        <v>13</v>
      </c>
      <c r="P511" s="419">
        <f t="shared" si="1148"/>
        <v>14</v>
      </c>
      <c r="Q511" s="1131">
        <f t="shared" si="1149"/>
        <v>61</v>
      </c>
      <c r="R511" s="419">
        <f t="shared" si="1149"/>
        <v>13</v>
      </c>
      <c r="S511" s="419">
        <f t="shared" si="1150"/>
        <v>7</v>
      </c>
      <c r="T511" s="419">
        <f t="shared" si="1150"/>
        <v>14</v>
      </c>
      <c r="U511" s="419">
        <f t="shared" si="1150"/>
        <v>1</v>
      </c>
      <c r="V511" s="1131">
        <f t="shared" si="1151"/>
        <v>35</v>
      </c>
      <c r="W511" s="419">
        <f t="shared" si="1151"/>
        <v>15</v>
      </c>
      <c r="X511" s="419">
        <f t="shared" si="1152"/>
        <v>12</v>
      </c>
      <c r="Y511" s="419">
        <f t="shared" si="1152"/>
        <v>3</v>
      </c>
      <c r="Z511" s="419">
        <f t="shared" si="1152"/>
        <v>7</v>
      </c>
      <c r="AA511" s="1131">
        <f t="shared" si="1153"/>
        <v>37</v>
      </c>
      <c r="AB511" s="419">
        <f t="shared" si="1153"/>
        <v>14</v>
      </c>
      <c r="AC511" s="419">
        <f t="shared" si="1154"/>
        <v>7</v>
      </c>
      <c r="AD511" s="419">
        <f t="shared" si="1154"/>
        <v>5</v>
      </c>
      <c r="AE511" s="419">
        <f t="shared" si="1154"/>
        <v>7</v>
      </c>
      <c r="AF511" s="1131">
        <f t="shared" si="1155"/>
        <v>33</v>
      </c>
      <c r="AG511" s="419">
        <f t="shared" si="1155"/>
        <v>7</v>
      </c>
      <c r="AH511" s="419">
        <f t="shared" si="1156"/>
        <v>12</v>
      </c>
      <c r="AI511" s="419">
        <f t="shared" si="1156"/>
        <v>10</v>
      </c>
      <c r="AJ511" s="419">
        <f t="shared" si="1156"/>
        <v>7</v>
      </c>
      <c r="AK511" s="1131">
        <f t="shared" si="1157"/>
        <v>36</v>
      </c>
      <c r="AL511" s="419">
        <f t="shared" si="1157"/>
        <v>10</v>
      </c>
      <c r="AM511" s="419">
        <f t="shared" si="1158"/>
        <v>2</v>
      </c>
      <c r="AN511" s="419">
        <f t="shared" si="1158"/>
        <v>3</v>
      </c>
      <c r="AO511" s="419">
        <f t="shared" si="1158"/>
        <v>7</v>
      </c>
      <c r="AP511" s="1131">
        <f t="shared" si="1159"/>
        <v>22</v>
      </c>
      <c r="AQ511" s="419">
        <f t="shared" si="1159"/>
        <v>20</v>
      </c>
      <c r="AR511" s="419">
        <f t="shared" si="1160"/>
        <v>32</v>
      </c>
      <c r="AS511" s="419">
        <f t="shared" si="1160"/>
        <v>8</v>
      </c>
      <c r="AT511" s="419">
        <f t="shared" si="1160"/>
        <v>6</v>
      </c>
      <c r="AU511" s="1131">
        <f t="shared" si="1161"/>
        <v>66</v>
      </c>
      <c r="AV511" s="419">
        <f t="shared" si="1161"/>
        <v>5</v>
      </c>
      <c r="AW511" s="419">
        <f t="shared" si="1162"/>
        <v>4</v>
      </c>
      <c r="AX511" s="419">
        <f t="shared" si="1162"/>
        <v>3</v>
      </c>
      <c r="AY511" s="419">
        <f t="shared" si="1162"/>
        <v>4</v>
      </c>
      <c r="AZ511" s="1131">
        <f t="shared" si="1163"/>
        <v>16</v>
      </c>
      <c r="BA511" s="419">
        <f t="shared" si="1163"/>
        <v>4</v>
      </c>
      <c r="BB511" s="419">
        <f t="shared" si="1164"/>
        <v>4</v>
      </c>
      <c r="BC511" s="419">
        <f t="shared" si="1164"/>
        <v>3</v>
      </c>
      <c r="BD511" s="419">
        <f t="shared" si="1165"/>
        <v>4</v>
      </c>
      <c r="BE511" s="1131">
        <f t="shared" si="1166"/>
        <v>15</v>
      </c>
      <c r="BF511" s="419">
        <f t="shared" si="1166"/>
        <v>6</v>
      </c>
      <c r="BG511" s="419">
        <f t="shared" si="1167"/>
        <v>4</v>
      </c>
      <c r="BH511" s="464">
        <f t="shared" si="1168"/>
        <v>3</v>
      </c>
      <c r="BI511" s="171"/>
      <c r="BJ511" s="1133">
        <f t="shared" si="1169"/>
        <v>13</v>
      </c>
      <c r="BK511" s="171"/>
      <c r="BL511" s="171"/>
      <c r="BM511" s="171"/>
      <c r="BN511" s="171"/>
      <c r="BO511" s="1133">
        <f t="shared" si="1170"/>
        <v>0</v>
      </c>
      <c r="BP511" s="1131"/>
      <c r="BQ511" s="1131"/>
      <c r="BR511" s="1133"/>
      <c r="BS511" s="119"/>
    </row>
    <row r="512" spans="1:71" s="680" customFormat="1" ht="15">
      <c r="A512" s="420" t="str">
        <f t="shared" si="1144"/>
        <v>Repurchases of Common Stock</v>
      </c>
      <c r="B512" s="171"/>
      <c r="C512" s="1131">
        <f t="shared" si="1171"/>
        <v>-81</v>
      </c>
      <c r="D512" s="1131">
        <f t="shared" si="1171"/>
        <v>-292</v>
      </c>
      <c r="E512" s="1131">
        <f t="shared" si="1171"/>
        <v>-315</v>
      </c>
      <c r="F512" s="1131">
        <f t="shared" si="1171"/>
        <v>-415</v>
      </c>
      <c r="G512" s="1131">
        <f t="shared" si="1171"/>
        <v>-70</v>
      </c>
      <c r="H512" s="419">
        <f t="shared" si="1171"/>
        <v>-24</v>
      </c>
      <c r="I512" s="419">
        <f t="shared" si="1146"/>
        <v>-20</v>
      </c>
      <c r="J512" s="419">
        <f t="shared" si="1146"/>
        <v>-83</v>
      </c>
      <c r="K512" s="419">
        <f t="shared" si="1146"/>
        <v>-64</v>
      </c>
      <c r="L512" s="1131">
        <f t="shared" si="1147"/>
        <v>-191</v>
      </c>
      <c r="M512" s="419">
        <f t="shared" si="1147"/>
        <v>-31</v>
      </c>
      <c r="N512" s="419">
        <f t="shared" si="1148"/>
        <v>-47</v>
      </c>
      <c r="O512" s="419">
        <f t="shared" si="1148"/>
        <v>-35</v>
      </c>
      <c r="P512" s="419">
        <f t="shared" si="1148"/>
        <v>-13</v>
      </c>
      <c r="Q512" s="1131">
        <f t="shared" si="1149"/>
        <v>-126</v>
      </c>
      <c r="R512" s="419">
        <f t="shared" si="1149"/>
        <v>-76</v>
      </c>
      <c r="S512" s="419">
        <f t="shared" si="1150"/>
        <v>-22</v>
      </c>
      <c r="T512" s="419">
        <f t="shared" si="1150"/>
        <v>-26</v>
      </c>
      <c r="U512" s="419">
        <f t="shared" si="1150"/>
        <v>-9</v>
      </c>
      <c r="V512" s="1131">
        <f t="shared" si="1151"/>
        <v>-133</v>
      </c>
      <c r="W512" s="419">
        <f t="shared" si="1151"/>
        <v>0</v>
      </c>
      <c r="X512" s="419">
        <f t="shared" si="1152"/>
        <v>0</v>
      </c>
      <c r="Y512" s="419">
        <f t="shared" si="1152"/>
        <v>0</v>
      </c>
      <c r="Z512" s="419">
        <f t="shared" si="1152"/>
        <v>0</v>
      </c>
      <c r="AA512" s="1131">
        <f t="shared" si="1153"/>
        <v>0</v>
      </c>
      <c r="AB512" s="419">
        <f t="shared" si="1153"/>
        <v>0</v>
      </c>
      <c r="AC512" s="419">
        <f t="shared" si="1154"/>
        <v>0</v>
      </c>
      <c r="AD512" s="419">
        <f t="shared" si="1154"/>
        <v>0</v>
      </c>
      <c r="AE512" s="419">
        <f t="shared" si="1154"/>
        <v>-6</v>
      </c>
      <c r="AF512" s="1131">
        <f t="shared" si="1155"/>
        <v>-6</v>
      </c>
      <c r="AG512" s="419">
        <f t="shared" si="1155"/>
        <v>0</v>
      </c>
      <c r="AH512" s="419">
        <f t="shared" si="1156"/>
        <v>0</v>
      </c>
      <c r="AI512" s="419">
        <f t="shared" si="1156"/>
        <v>0</v>
      </c>
      <c r="AJ512" s="419">
        <f t="shared" si="1156"/>
        <v>0</v>
      </c>
      <c r="AK512" s="1131">
        <f t="shared" si="1157"/>
        <v>0</v>
      </c>
      <c r="AL512" s="419">
        <f t="shared" si="1157"/>
        <v>-61</v>
      </c>
      <c r="AM512" s="419">
        <f t="shared" si="1158"/>
        <v>-76</v>
      </c>
      <c r="AN512" s="419">
        <f t="shared" si="1158"/>
        <v>-96</v>
      </c>
      <c r="AO512" s="419">
        <f t="shared" si="1158"/>
        <v>-80</v>
      </c>
      <c r="AP512" s="1131">
        <f t="shared" si="1159"/>
        <v>-313</v>
      </c>
      <c r="AQ512" s="419">
        <f t="shared" si="1159"/>
        <v>-192</v>
      </c>
      <c r="AR512" s="419">
        <f t="shared" si="1160"/>
        <v>-114</v>
      </c>
      <c r="AS512" s="419">
        <f t="shared" si="1160"/>
        <v>-12</v>
      </c>
      <c r="AT512" s="419">
        <f t="shared" si="1160"/>
        <v>-1</v>
      </c>
      <c r="AU512" s="1131">
        <f t="shared" si="1161"/>
        <v>-319</v>
      </c>
      <c r="AV512" s="419">
        <f t="shared" si="1161"/>
        <v>-5</v>
      </c>
      <c r="AW512" s="419">
        <f t="shared" si="1162"/>
        <v>0</v>
      </c>
      <c r="AX512" s="419">
        <f t="shared" si="1162"/>
        <v>-5</v>
      </c>
      <c r="AY512" s="419">
        <f t="shared" si="1162"/>
        <v>-1</v>
      </c>
      <c r="AZ512" s="1131">
        <f t="shared" si="1163"/>
        <v>-11</v>
      </c>
      <c r="BA512" s="419">
        <f t="shared" si="1163"/>
        <v>-24</v>
      </c>
      <c r="BB512" s="419">
        <f t="shared" si="1164"/>
        <v>-43</v>
      </c>
      <c r="BC512" s="419">
        <f t="shared" si="1164"/>
        <v>-86</v>
      </c>
      <c r="BD512" s="419">
        <f t="shared" si="1165"/>
        <v>-60</v>
      </c>
      <c r="BE512" s="1131">
        <f t="shared" si="1166"/>
        <v>-213</v>
      </c>
      <c r="BF512" s="419">
        <f t="shared" si="1166"/>
        <v>0</v>
      </c>
      <c r="BG512" s="419">
        <f t="shared" si="1167"/>
        <v>0</v>
      </c>
      <c r="BH512" s="464">
        <f t="shared" si="1168"/>
        <v>0</v>
      </c>
      <c r="BI512" s="171">
        <f>BI362</f>
        <v>0</v>
      </c>
      <c r="BJ512" s="1133">
        <f t="shared" si="1169"/>
        <v>0</v>
      </c>
      <c r="BK512" s="171">
        <f>BK362</f>
        <v>0</v>
      </c>
      <c r="BL512" s="171">
        <f>BL362</f>
        <v>0</v>
      </c>
      <c r="BM512" s="171">
        <f>BM362</f>
        <v>0</v>
      </c>
      <c r="BN512" s="171">
        <f>BN362</f>
        <v>0</v>
      </c>
      <c r="BO512" s="1133">
        <f t="shared" si="1170"/>
        <v>0</v>
      </c>
      <c r="BP512" s="1131">
        <f>BP362</f>
        <v>0</v>
      </c>
      <c r="BQ512" s="1131">
        <f>BQ362</f>
        <v>0</v>
      </c>
      <c r="BR512" s="1133">
        <f>BR362</f>
        <v>0</v>
      </c>
      <c r="BS512" s="119"/>
    </row>
    <row r="513" spans="1:71" s="680" customFormat="1" ht="15">
      <c r="A513" s="420" t="str">
        <f t="shared" si="1144"/>
        <v>Cash dividends paid on Common Stock</v>
      </c>
      <c r="B513" s="171"/>
      <c r="C513" s="1131">
        <f t="shared" si="1171"/>
        <v>-60</v>
      </c>
      <c r="D513" s="1131">
        <f t="shared" si="1171"/>
        <v>-63</v>
      </c>
      <c r="E513" s="1131">
        <f t="shared" si="1171"/>
        <v>-67</v>
      </c>
      <c r="F513" s="1131">
        <f t="shared" si="1171"/>
        <v>-90</v>
      </c>
      <c r="G513" s="1131">
        <f t="shared" si="1171"/>
        <v>-160</v>
      </c>
      <c r="H513" s="419">
        <f t="shared" si="1171"/>
        <v>-19</v>
      </c>
      <c r="I513" s="419">
        <f t="shared" si="1146"/>
        <v>-20</v>
      </c>
      <c r="J513" s="419">
        <f t="shared" si="1146"/>
        <v>-20</v>
      </c>
      <c r="K513" s="419">
        <f t="shared" si="1146"/>
        <v>-108</v>
      </c>
      <c r="L513" s="1131">
        <f t="shared" si="1147"/>
        <v>-167</v>
      </c>
      <c r="M513" s="419">
        <f t="shared" si="1147"/>
        <v>-22</v>
      </c>
      <c r="N513" s="419">
        <f t="shared" si="1148"/>
        <v>-22</v>
      </c>
      <c r="O513" s="419">
        <f t="shared" si="1148"/>
        <v>-21</v>
      </c>
      <c r="P513" s="419">
        <f t="shared" si="1148"/>
        <v>-111</v>
      </c>
      <c r="Q513" s="1131">
        <f t="shared" si="1149"/>
        <v>-176</v>
      </c>
      <c r="R513" s="419">
        <f t="shared" si="1149"/>
        <v>-24</v>
      </c>
      <c r="S513" s="419">
        <f t="shared" si="1150"/>
        <v>-24</v>
      </c>
      <c r="T513" s="419">
        <f t="shared" si="1150"/>
        <v>-24</v>
      </c>
      <c r="U513" s="419">
        <f t="shared" si="1150"/>
        <v>-113</v>
      </c>
      <c r="V513" s="1131">
        <f t="shared" si="1151"/>
        <v>-185</v>
      </c>
      <c r="W513" s="419">
        <f t="shared" si="1151"/>
        <v>-27</v>
      </c>
      <c r="X513" s="419">
        <f t="shared" si="1152"/>
        <v>-158</v>
      </c>
      <c r="Y513" s="419">
        <f t="shared" si="1152"/>
        <v>-27</v>
      </c>
      <c r="Z513" s="419">
        <f t="shared" si="1152"/>
        <v>-205</v>
      </c>
      <c r="AA513" s="1131">
        <f t="shared" si="1153"/>
        <v>-417</v>
      </c>
      <c r="AB513" s="419">
        <f t="shared" si="1153"/>
        <v>-31</v>
      </c>
      <c r="AC513" s="419">
        <f t="shared" si="1154"/>
        <v>-163</v>
      </c>
      <c r="AD513" s="419">
        <f t="shared" si="1154"/>
        <v>-31</v>
      </c>
      <c r="AE513" s="419">
        <f t="shared" si="1154"/>
        <v>-169</v>
      </c>
      <c r="AF513" s="1131">
        <f t="shared" si="1155"/>
        <v>-394</v>
      </c>
      <c r="AG513" s="419">
        <f t="shared" si="1155"/>
        <v>-36</v>
      </c>
      <c r="AH513" s="419">
        <f t="shared" si="1156"/>
        <v>-169</v>
      </c>
      <c r="AI513" s="419">
        <f t="shared" si="1156"/>
        <v>-36</v>
      </c>
      <c r="AJ513" s="419">
        <f t="shared" si="1156"/>
        <v>-203</v>
      </c>
      <c r="AK513" s="1131">
        <f t="shared" si="1157"/>
        <v>-444</v>
      </c>
      <c r="AL513" s="419">
        <f t="shared" si="1157"/>
        <v>-40</v>
      </c>
      <c r="AM513" s="419">
        <f t="shared" si="1158"/>
        <v>-41</v>
      </c>
      <c r="AN513" s="419">
        <f t="shared" si="1158"/>
        <v>-38</v>
      </c>
      <c r="AO513" s="419">
        <f t="shared" si="1158"/>
        <v>-215</v>
      </c>
      <c r="AP513" s="1131">
        <f t="shared" si="1159"/>
        <v>-334</v>
      </c>
      <c r="AQ513" s="419">
        <f t="shared" si="1159"/>
        <v>-43</v>
      </c>
      <c r="AR513" s="419">
        <f t="shared" si="1160"/>
        <v>-1228</v>
      </c>
      <c r="AS513" s="419">
        <f t="shared" si="1160"/>
        <v>-211</v>
      </c>
      <c r="AT513" s="419">
        <f t="shared" si="1160"/>
        <v>-892</v>
      </c>
      <c r="AU513" s="1131">
        <f t="shared" si="1161"/>
        <v>-2374</v>
      </c>
      <c r="AV513" s="419">
        <f t="shared" si="1161"/>
        <v>-216</v>
      </c>
      <c r="AW513" s="419">
        <f t="shared" si="1162"/>
        <v>-726</v>
      </c>
      <c r="AX513" s="419">
        <f t="shared" si="1162"/>
        <v>-47</v>
      </c>
      <c r="AY513" s="419">
        <f t="shared" si="1162"/>
        <v>-224</v>
      </c>
      <c r="AZ513" s="1131">
        <f t="shared" si="1163"/>
        <v>-1213</v>
      </c>
      <c r="BA513" s="419">
        <f t="shared" si="1163"/>
        <v>-393</v>
      </c>
      <c r="BB513" s="419">
        <f t="shared" si="1164"/>
        <v>-53</v>
      </c>
      <c r="BC513" s="419">
        <f t="shared" si="1164"/>
        <v>-52</v>
      </c>
      <c r="BD513" s="419">
        <f t="shared" si="1165"/>
        <v>-186</v>
      </c>
      <c r="BE513" s="1131">
        <f t="shared" si="1166"/>
        <v>-684</v>
      </c>
      <c r="BF513" s="419">
        <f t="shared" si="1166"/>
        <v>-268</v>
      </c>
      <c r="BG513" s="419">
        <f t="shared" si="1167"/>
        <v>-59</v>
      </c>
      <c r="BH513" s="464">
        <f t="shared" si="1168"/>
        <v>-58</v>
      </c>
      <c r="BI513" s="171">
        <f ca="1">BI322</f>
        <v>-402.8325408</v>
      </c>
      <c r="BJ513" s="1133">
        <f t="shared" ca="1" si="1169"/>
        <v>-787.83254080000006</v>
      </c>
      <c r="BK513" s="171">
        <f ca="1">BK322</f>
        <v>-67.138756799999996</v>
      </c>
      <c r="BL513" s="171">
        <f ca="1">BL322</f>
        <v>-67.138756799999996</v>
      </c>
      <c r="BM513" s="171">
        <f ca="1">BM322</f>
        <v>-67.138756799999996</v>
      </c>
      <c r="BN513" s="171">
        <f ca="1">BN322</f>
        <v>-67.138756799999996</v>
      </c>
      <c r="BO513" s="1133">
        <f t="shared" ca="1" si="1170"/>
        <v>-268.55502719999998</v>
      </c>
      <c r="BP513" s="1131">
        <f ca="1">BP322</f>
        <v>-268.55502719999998</v>
      </c>
      <c r="BQ513" s="1131">
        <f ca="1">BQ322</f>
        <v>-268.55502719999998</v>
      </c>
      <c r="BR513" s="1133">
        <f ca="1">BR322</f>
        <v>-268.55502719999998</v>
      </c>
      <c r="BS513" s="119"/>
    </row>
    <row r="514" spans="1:71" s="680" customFormat="1" ht="15">
      <c r="A514" s="420" t="str">
        <f t="shared" si="1144"/>
        <v>Acquisition of noncontrolling interests in subsidiary</v>
      </c>
      <c r="B514" s="171"/>
      <c r="C514" s="1131">
        <f t="shared" si="1171"/>
        <v>0</v>
      </c>
      <c r="D514" s="1131">
        <f t="shared" si="1171"/>
        <v>0</v>
      </c>
      <c r="E514" s="1131">
        <f t="shared" si="1171"/>
        <v>0</v>
      </c>
      <c r="F514" s="1131">
        <f t="shared" si="1171"/>
        <v>0</v>
      </c>
      <c r="G514" s="1131">
        <f t="shared" si="1171"/>
        <v>0</v>
      </c>
      <c r="H514" s="419">
        <f t="shared" si="1171"/>
        <v>0</v>
      </c>
      <c r="I514" s="419">
        <f t="shared" si="1146"/>
        <v>0</v>
      </c>
      <c r="J514" s="419">
        <f t="shared" si="1146"/>
        <v>0</v>
      </c>
      <c r="K514" s="419">
        <f t="shared" si="1146"/>
        <v>0</v>
      </c>
      <c r="L514" s="1131">
        <f t="shared" si="1147"/>
        <v>0</v>
      </c>
      <c r="M514" s="419">
        <f t="shared" si="1147"/>
        <v>0</v>
      </c>
      <c r="N514" s="419">
        <f t="shared" si="1148"/>
        <v>0</v>
      </c>
      <c r="O514" s="419">
        <f t="shared" si="1148"/>
        <v>0</v>
      </c>
      <c r="P514" s="419">
        <f t="shared" si="1148"/>
        <v>0</v>
      </c>
      <c r="Q514" s="1131">
        <f t="shared" si="1149"/>
        <v>0</v>
      </c>
      <c r="R514" s="419">
        <f t="shared" si="1149"/>
        <v>0</v>
      </c>
      <c r="S514" s="419">
        <f t="shared" si="1150"/>
        <v>0</v>
      </c>
      <c r="T514" s="419">
        <f t="shared" si="1150"/>
        <v>0</v>
      </c>
      <c r="U514" s="419">
        <f t="shared" si="1150"/>
        <v>-315</v>
      </c>
      <c r="V514" s="1131">
        <f t="shared" si="1151"/>
        <v>-315</v>
      </c>
      <c r="W514" s="419">
        <f t="shared" si="1151"/>
        <v>0</v>
      </c>
      <c r="X514" s="419">
        <f t="shared" si="1152"/>
        <v>0</v>
      </c>
      <c r="Y514" s="419">
        <f t="shared" si="1152"/>
        <v>0</v>
      </c>
      <c r="Z514" s="419">
        <f t="shared" si="1152"/>
        <v>0</v>
      </c>
      <c r="AA514" s="1131">
        <f t="shared" si="1153"/>
        <v>0</v>
      </c>
      <c r="AB514" s="419">
        <f t="shared" si="1153"/>
        <v>0</v>
      </c>
      <c r="AC514" s="419">
        <f t="shared" si="1154"/>
        <v>0</v>
      </c>
      <c r="AD514" s="419">
        <f t="shared" si="1154"/>
        <v>0</v>
      </c>
      <c r="AE514" s="419">
        <f t="shared" si="1154"/>
        <v>0</v>
      </c>
      <c r="AF514" s="1131">
        <f t="shared" si="1155"/>
        <v>0</v>
      </c>
      <c r="AG514" s="419">
        <f t="shared" si="1155"/>
        <v>0</v>
      </c>
      <c r="AH514" s="419">
        <f t="shared" si="1156"/>
        <v>0</v>
      </c>
      <c r="AI514" s="419">
        <f t="shared" si="1156"/>
        <v>0</v>
      </c>
      <c r="AJ514" s="419">
        <f t="shared" si="1156"/>
        <v>0</v>
      </c>
      <c r="AK514" s="1131">
        <f t="shared" si="1157"/>
        <v>0</v>
      </c>
      <c r="AL514" s="419">
        <f t="shared" si="1157"/>
        <v>0</v>
      </c>
      <c r="AM514" s="419">
        <f t="shared" si="1158"/>
        <v>0</v>
      </c>
      <c r="AN514" s="419">
        <f t="shared" si="1158"/>
        <v>0</v>
      </c>
      <c r="AO514" s="419">
        <f t="shared" si="1158"/>
        <v>0</v>
      </c>
      <c r="AP514" s="1131">
        <f t="shared" si="1159"/>
        <v>0</v>
      </c>
      <c r="AQ514" s="419">
        <f t="shared" si="1159"/>
        <v>0</v>
      </c>
      <c r="AR514" s="419">
        <f t="shared" si="1160"/>
        <v>0</v>
      </c>
      <c r="AS514" s="419">
        <f t="shared" si="1160"/>
        <v>0</v>
      </c>
      <c r="AT514" s="419">
        <f t="shared" si="1160"/>
        <v>0</v>
      </c>
      <c r="AU514" s="1131">
        <f t="shared" si="1161"/>
        <v>0</v>
      </c>
      <c r="AV514" s="419">
        <f t="shared" si="1161"/>
        <v>0</v>
      </c>
      <c r="AW514" s="419">
        <f t="shared" si="1162"/>
        <v>0</v>
      </c>
      <c r="AX514" s="419">
        <f t="shared" si="1162"/>
        <v>0</v>
      </c>
      <c r="AY514" s="419">
        <f t="shared" si="1162"/>
        <v>0</v>
      </c>
      <c r="AZ514" s="1131">
        <f t="shared" si="1163"/>
        <v>0</v>
      </c>
      <c r="BA514" s="419">
        <f t="shared" si="1163"/>
        <v>0</v>
      </c>
      <c r="BB514" s="419">
        <f t="shared" si="1164"/>
        <v>0</v>
      </c>
      <c r="BC514" s="419">
        <f t="shared" si="1164"/>
        <v>0</v>
      </c>
      <c r="BD514" s="419">
        <f t="shared" si="1165"/>
        <v>0</v>
      </c>
      <c r="BE514" s="1131">
        <f t="shared" si="1166"/>
        <v>0</v>
      </c>
      <c r="BF514" s="419">
        <f t="shared" si="1166"/>
        <v>0</v>
      </c>
      <c r="BG514" s="419">
        <f t="shared" si="1167"/>
        <v>0</v>
      </c>
      <c r="BH514" s="464">
        <f t="shared" si="1168"/>
        <v>0</v>
      </c>
      <c r="BI514" s="171"/>
      <c r="BJ514" s="1133">
        <f t="shared" si="1169"/>
        <v>0</v>
      </c>
      <c r="BK514" s="171"/>
      <c r="BL514" s="171"/>
      <c r="BM514" s="171"/>
      <c r="BN514" s="171"/>
      <c r="BO514" s="1133">
        <f t="shared" si="1170"/>
        <v>0</v>
      </c>
      <c r="BP514" s="1131"/>
      <c r="BQ514" s="1131"/>
      <c r="BR514" s="1133"/>
      <c r="BS514" s="119"/>
    </row>
    <row r="515" spans="1:71" s="680" customFormat="1" ht="15">
      <c r="A515" s="598" t="str">
        <f t="shared" si="1144"/>
        <v>Other financing activities, net</v>
      </c>
      <c r="B515" s="363"/>
      <c r="C515" s="1134">
        <f t="shared" si="1171"/>
        <v>-2</v>
      </c>
      <c r="D515" s="1134">
        <f t="shared" si="1171"/>
        <v>0</v>
      </c>
      <c r="E515" s="1134">
        <f t="shared" si="1171"/>
        <v>-14</v>
      </c>
      <c r="F515" s="1134">
        <f t="shared" si="1171"/>
        <v>-35</v>
      </c>
      <c r="G515" s="1134">
        <f t="shared" si="1171"/>
        <v>-4</v>
      </c>
      <c r="H515" s="363">
        <f t="shared" si="1171"/>
        <v>1</v>
      </c>
      <c r="I515" s="363">
        <f t="shared" si="1146"/>
        <v>-1</v>
      </c>
      <c r="J515" s="363">
        <f t="shared" si="1146"/>
        <v>0</v>
      </c>
      <c r="K515" s="363">
        <f t="shared" si="1146"/>
        <v>-3</v>
      </c>
      <c r="L515" s="1134">
        <f t="shared" si="1147"/>
        <v>-3</v>
      </c>
      <c r="M515" s="363">
        <f t="shared" si="1147"/>
        <v>-5</v>
      </c>
      <c r="N515" s="363">
        <f t="shared" si="1148"/>
        <v>-1</v>
      </c>
      <c r="O515" s="363">
        <f t="shared" si="1148"/>
        <v>-1</v>
      </c>
      <c r="P515" s="363">
        <f t="shared" si="1148"/>
        <v>-1</v>
      </c>
      <c r="Q515" s="1134">
        <f t="shared" si="1149"/>
        <v>-8</v>
      </c>
      <c r="R515" s="363">
        <f t="shared" si="1149"/>
        <v>-2</v>
      </c>
      <c r="S515" s="363">
        <f t="shared" si="1150"/>
        <v>-1</v>
      </c>
      <c r="T515" s="363">
        <f t="shared" si="1150"/>
        <v>-3</v>
      </c>
      <c r="U515" s="363">
        <f t="shared" si="1150"/>
        <v>-7</v>
      </c>
      <c r="V515" s="1134">
        <f t="shared" si="1151"/>
        <v>-13</v>
      </c>
      <c r="W515" s="363">
        <f t="shared" si="1151"/>
        <v>0</v>
      </c>
      <c r="X515" s="363">
        <f t="shared" si="1152"/>
        <v>-4</v>
      </c>
      <c r="Y515" s="363">
        <f t="shared" si="1152"/>
        <v>-3</v>
      </c>
      <c r="Z515" s="363">
        <f t="shared" si="1152"/>
        <v>3</v>
      </c>
      <c r="AA515" s="1134">
        <f t="shared" si="1153"/>
        <v>-4</v>
      </c>
      <c r="AB515" s="363">
        <f t="shared" si="1153"/>
        <v>0</v>
      </c>
      <c r="AC515" s="363">
        <f t="shared" si="1154"/>
        <v>0</v>
      </c>
      <c r="AD515" s="363">
        <f t="shared" si="1154"/>
        <v>0</v>
      </c>
      <c r="AE515" s="363">
        <f t="shared" si="1154"/>
        <v>0</v>
      </c>
      <c r="AF515" s="1134">
        <f t="shared" si="1155"/>
        <v>0</v>
      </c>
      <c r="AG515" s="363">
        <f t="shared" si="1155"/>
        <v>0</v>
      </c>
      <c r="AH515" s="363">
        <f t="shared" si="1156"/>
        <v>0</v>
      </c>
      <c r="AI515" s="363">
        <f t="shared" si="1156"/>
        <v>0</v>
      </c>
      <c r="AJ515" s="363">
        <f t="shared" si="1156"/>
        <v>0</v>
      </c>
      <c r="AK515" s="1134">
        <f t="shared" si="1157"/>
        <v>0</v>
      </c>
      <c r="AL515" s="363">
        <f t="shared" si="1157"/>
        <v>0</v>
      </c>
      <c r="AM515" s="363">
        <f t="shared" si="1158"/>
        <v>0</v>
      </c>
      <c r="AN515" s="363">
        <f t="shared" si="1158"/>
        <v>0</v>
      </c>
      <c r="AO515" s="363">
        <f t="shared" si="1158"/>
        <v>0</v>
      </c>
      <c r="AP515" s="1134">
        <f t="shared" si="1159"/>
        <v>0</v>
      </c>
      <c r="AQ515" s="363">
        <f t="shared" si="1159"/>
        <v>0</v>
      </c>
      <c r="AR515" s="363">
        <f t="shared" si="1160"/>
        <v>0</v>
      </c>
      <c r="AS515" s="363">
        <f t="shared" si="1160"/>
        <v>0</v>
      </c>
      <c r="AT515" s="363">
        <f t="shared" si="1160"/>
        <v>0</v>
      </c>
      <c r="AU515" s="1134">
        <f t="shared" si="1161"/>
        <v>0</v>
      </c>
      <c r="AV515" s="363">
        <f t="shared" si="1161"/>
        <v>0</v>
      </c>
      <c r="AW515" s="363">
        <f t="shared" si="1162"/>
        <v>0</v>
      </c>
      <c r="AX515" s="363">
        <f t="shared" si="1162"/>
        <v>0</v>
      </c>
      <c r="AY515" s="363">
        <f t="shared" si="1162"/>
        <v>0</v>
      </c>
      <c r="AZ515" s="1134">
        <f t="shared" si="1163"/>
        <v>0</v>
      </c>
      <c r="BA515" s="363">
        <f t="shared" si="1163"/>
        <v>0</v>
      </c>
      <c r="BB515" s="363">
        <f t="shared" si="1164"/>
        <v>0</v>
      </c>
      <c r="BC515" s="363">
        <f t="shared" si="1164"/>
        <v>0</v>
      </c>
      <c r="BD515" s="363">
        <f t="shared" si="1165"/>
        <v>0</v>
      </c>
      <c r="BE515" s="1134">
        <f t="shared" si="1166"/>
        <v>0</v>
      </c>
      <c r="BF515" s="363">
        <f t="shared" si="1166"/>
        <v>0</v>
      </c>
      <c r="BG515" s="363">
        <f t="shared" si="1167"/>
        <v>0</v>
      </c>
      <c r="BH515" s="773">
        <f t="shared" si="1168"/>
        <v>0</v>
      </c>
      <c r="BI515" s="363"/>
      <c r="BJ515" s="1134">
        <f t="shared" si="1169"/>
        <v>0</v>
      </c>
      <c r="BK515" s="363"/>
      <c r="BL515" s="363"/>
      <c r="BM515" s="363"/>
      <c r="BN515" s="363"/>
      <c r="BO515" s="1134">
        <f t="shared" si="1170"/>
        <v>0</v>
      </c>
      <c r="BP515" s="1134"/>
      <c r="BQ515" s="1134"/>
      <c r="BR515" s="1134"/>
      <c r="BS515" s="119"/>
    </row>
    <row r="516" spans="1:71" s="681" customFormat="1" ht="15">
      <c r="A516" s="607" t="str">
        <f t="shared" si="1144"/>
        <v>Net CFF</v>
      </c>
      <c r="B516" s="516"/>
      <c r="C516" s="1139">
        <f t="shared" si="1172" ref="C516:AK516">SUM(C500:C515)</f>
        <v>-276</v>
      </c>
      <c r="D516" s="1139">
        <f t="shared" si="1172"/>
        <v>820</v>
      </c>
      <c r="E516" s="1139">
        <f t="shared" si="1172"/>
        <v>1997</v>
      </c>
      <c r="F516" s="1139">
        <f t="shared" si="1172"/>
        <v>989</v>
      </c>
      <c r="G516" s="1139">
        <f t="shared" si="1172"/>
        <v>2089</v>
      </c>
      <c r="H516" s="596">
        <f t="shared" si="1172"/>
        <v>459</v>
      </c>
      <c r="I516" s="596">
        <f t="shared" si="1172"/>
        <v>489</v>
      </c>
      <c r="J516" s="596">
        <f t="shared" si="1172"/>
        <v>484</v>
      </c>
      <c r="K516" s="596">
        <f t="shared" si="1172"/>
        <v>669</v>
      </c>
      <c r="L516" s="1139">
        <f t="shared" si="1172"/>
        <v>2101</v>
      </c>
      <c r="M516" s="596">
        <f t="shared" si="1172"/>
        <v>440</v>
      </c>
      <c r="N516" s="596">
        <f t="shared" si="1172"/>
        <v>971</v>
      </c>
      <c r="O516" s="596">
        <f t="shared" si="1172"/>
        <v>648</v>
      </c>
      <c r="P516" s="596">
        <f t="shared" si="1172"/>
        <v>1038</v>
      </c>
      <c r="Q516" s="1139">
        <f t="shared" si="1172"/>
        <v>3097</v>
      </c>
      <c r="R516" s="596">
        <f t="shared" si="1172"/>
        <v>872</v>
      </c>
      <c r="S516" s="596">
        <f t="shared" si="1172"/>
        <v>777</v>
      </c>
      <c r="T516" s="596">
        <f t="shared" si="1172"/>
        <v>543</v>
      </c>
      <c r="U516" s="596">
        <f t="shared" si="1172"/>
        <v>526</v>
      </c>
      <c r="V516" s="1139">
        <f t="shared" si="1172"/>
        <v>2718</v>
      </c>
      <c r="W516" s="596">
        <f t="shared" si="1172"/>
        <v>1053</v>
      </c>
      <c r="X516" s="596">
        <f t="shared" si="1172"/>
        <v>467</v>
      </c>
      <c r="Y516" s="596">
        <f t="shared" si="1172"/>
        <v>-41</v>
      </c>
      <c r="Z516" s="596">
        <f t="shared" si="1172"/>
        <v>240</v>
      </c>
      <c r="AA516" s="1139">
        <f t="shared" si="1172"/>
        <v>1719</v>
      </c>
      <c r="AB516" s="596">
        <f t="shared" si="1172"/>
        <v>586</v>
      </c>
      <c r="AC516" s="596">
        <f t="shared" si="1172"/>
        <v>548</v>
      </c>
      <c r="AD516" s="596">
        <f t="shared" si="1172"/>
        <v>635</v>
      </c>
      <c r="AE516" s="596">
        <f t="shared" si="1172"/>
        <v>675</v>
      </c>
      <c r="AF516" s="1139">
        <f t="shared" si="1172"/>
        <v>2444</v>
      </c>
      <c r="AG516" s="596">
        <f t="shared" si="1172"/>
        <v>715</v>
      </c>
      <c r="AH516" s="596">
        <f t="shared" si="1172"/>
        <v>319</v>
      </c>
      <c r="AI516" s="596">
        <f t="shared" si="1172"/>
        <v>231</v>
      </c>
      <c r="AJ516" s="596">
        <f t="shared" si="1172"/>
        <v>143</v>
      </c>
      <c r="AK516" s="1139">
        <f t="shared" si="1172"/>
        <v>1408</v>
      </c>
      <c r="AL516" s="596">
        <f t="shared" si="1173" ref="AL516:AQ516">SUM(AL500:AL515)</f>
        <v>480</v>
      </c>
      <c r="AM516" s="596">
        <f t="shared" si="1173"/>
        <v>113</v>
      </c>
      <c r="AN516" s="596">
        <f t="shared" si="1173"/>
        <v>-84</v>
      </c>
      <c r="AO516" s="596">
        <f t="shared" si="1173"/>
        <v>-632</v>
      </c>
      <c r="AP516" s="1139">
        <f t="shared" si="1173"/>
        <v>-123</v>
      </c>
      <c r="AQ516" s="596">
        <f t="shared" si="1173"/>
        <v>-172</v>
      </c>
      <c r="AR516" s="596">
        <f t="shared" si="1174" ref="AR516:AZ516">SUM(AR500:AR515)</f>
        <v>-904</v>
      </c>
      <c r="AS516" s="596">
        <f t="shared" si="1174"/>
        <v>-223</v>
      </c>
      <c r="AT516" s="596">
        <f t="shared" si="1174"/>
        <v>-658</v>
      </c>
      <c r="AU516" s="1139">
        <f t="shared" si="1174"/>
        <v>-1957</v>
      </c>
      <c r="AV516" s="596">
        <f t="shared" si="1174"/>
        <v>-342</v>
      </c>
      <c r="AW516" s="596">
        <f t="shared" si="1174"/>
        <v>-835</v>
      </c>
      <c r="AX516" s="596">
        <f t="shared" si="1174"/>
        <v>-141</v>
      </c>
      <c r="AY516" s="596">
        <f t="shared" si="1174"/>
        <v>-43</v>
      </c>
      <c r="AZ516" s="1139">
        <f t="shared" si="1174"/>
        <v>-1361</v>
      </c>
      <c r="BA516" s="596">
        <f t="shared" si="1175" ref="BA516:BB516">SUM(BA500:BA515)</f>
        <v>-491</v>
      </c>
      <c r="BB516" s="596">
        <f t="shared" si="1175"/>
        <v>-279</v>
      </c>
      <c r="BC516" s="596">
        <f>SUM(BC500:BC515)</f>
        <v>-554</v>
      </c>
      <c r="BD516" s="596">
        <f t="shared" si="1176" ref="BD516:BJ516">SUM(BD500:BD515)</f>
        <v>-707</v>
      </c>
      <c r="BE516" s="1139">
        <f t="shared" si="1176"/>
        <v>-2031</v>
      </c>
      <c r="BF516" s="596">
        <f>SUM(BF500:BF515)</f>
        <v>-90</v>
      </c>
      <c r="BG516" s="596">
        <f>SUM(BG500:BG515)</f>
        <v>-27</v>
      </c>
      <c r="BH516" s="901">
        <f>SUM(BH500:BH515)</f>
        <v>-380</v>
      </c>
      <c r="BI516" s="596">
        <f ca="1">SUM(BI500:BI515)</f>
        <v>-402.8325408</v>
      </c>
      <c r="BJ516" s="1139">
        <f t="shared" ca="1" si="1176"/>
        <v>-899.83254080000006</v>
      </c>
      <c r="BK516" s="596">
        <f ca="1" t="shared" si="1177" ref="BK516:BR516">SUM(BK500:BK515)</f>
        <v>-67.138756799999996</v>
      </c>
      <c r="BL516" s="596">
        <f t="shared" ca="1" si="1177"/>
        <v>-67.138756799999996</v>
      </c>
      <c r="BM516" s="596">
        <f t="shared" ca="1" si="1177"/>
        <v>-67.138756799999996</v>
      </c>
      <c r="BN516" s="596">
        <f t="shared" ca="1" si="1177"/>
        <v>-67.138756799999996</v>
      </c>
      <c r="BO516" s="1139">
        <f t="shared" ca="1" si="1177"/>
        <v>-268.55502719999998</v>
      </c>
      <c r="BP516" s="1139">
        <f t="shared" ca="1" si="1177"/>
        <v>-268.55502719999998</v>
      </c>
      <c r="BQ516" s="1139">
        <f t="shared" ca="1" si="1177"/>
        <v>-268.55502719999998</v>
      </c>
      <c r="BR516" s="1139">
        <f t="shared" ca="1" si="1177"/>
        <v>-268.55502719999998</v>
      </c>
      <c r="BS516" s="124"/>
    </row>
    <row r="517" spans="1:71" s="681" customFormat="1" ht="15">
      <c r="A517" s="485"/>
      <c r="B517" s="509"/>
      <c r="C517" s="1147"/>
      <c r="D517" s="1147"/>
      <c r="E517" s="1147"/>
      <c r="F517" s="1147"/>
      <c r="G517" s="1147"/>
      <c r="H517" s="426"/>
      <c r="I517" s="426"/>
      <c r="J517" s="426"/>
      <c r="K517" s="426"/>
      <c r="L517" s="1147"/>
      <c r="M517" s="426"/>
      <c r="N517" s="426"/>
      <c r="O517" s="426"/>
      <c r="P517" s="426"/>
      <c r="Q517" s="1147"/>
      <c r="R517" s="426"/>
      <c r="S517" s="426"/>
      <c r="T517" s="426"/>
      <c r="U517" s="426"/>
      <c r="V517" s="1147"/>
      <c r="W517" s="426"/>
      <c r="X517" s="426"/>
      <c r="Y517" s="426"/>
      <c r="Z517" s="426"/>
      <c r="AA517" s="1147"/>
      <c r="AB517" s="426"/>
      <c r="AC517" s="426"/>
      <c r="AD517" s="426"/>
      <c r="AE517" s="426"/>
      <c r="AF517" s="1147"/>
      <c r="AG517" s="426"/>
      <c r="AH517" s="426"/>
      <c r="AI517" s="426"/>
      <c r="AJ517" s="426"/>
      <c r="AK517" s="1147"/>
      <c r="AL517" s="426"/>
      <c r="AM517" s="426"/>
      <c r="AN517" s="426"/>
      <c r="AO517" s="426"/>
      <c r="AP517" s="1147"/>
      <c r="AQ517" s="426"/>
      <c r="AR517" s="426"/>
      <c r="AS517" s="426"/>
      <c r="AT517" s="426"/>
      <c r="AU517" s="1147"/>
      <c r="AV517" s="426"/>
      <c r="AW517" s="426"/>
      <c r="AX517" s="426"/>
      <c r="AY517" s="426"/>
      <c r="AZ517" s="1147"/>
      <c r="BA517" s="426"/>
      <c r="BB517" s="426"/>
      <c r="BC517" s="426"/>
      <c r="BD517" s="426"/>
      <c r="BE517" s="1147"/>
      <c r="BF517" s="426"/>
      <c r="BG517" s="426"/>
      <c r="BH517" s="487"/>
      <c r="BI517" s="159"/>
      <c r="BJ517" s="1148"/>
      <c r="BK517" s="159"/>
      <c r="BL517" s="159"/>
      <c r="BM517" s="159"/>
      <c r="BN517" s="159"/>
      <c r="BO517" s="1148"/>
      <c r="BP517" s="1147"/>
      <c r="BQ517" s="1147"/>
      <c r="BR517" s="1148"/>
      <c r="BS517" s="124"/>
    </row>
    <row r="518" spans="1:71" s="680" customFormat="1" ht="15">
      <c r="A518" s="421" t="str">
        <f>A450</f>
        <v>FX</v>
      </c>
      <c r="B518" s="417"/>
      <c r="C518" s="1131">
        <f t="shared" si="1178" ref="C518:H518">C450</f>
        <v>0</v>
      </c>
      <c r="D518" s="1131">
        <f t="shared" si="1178"/>
        <v>0</v>
      </c>
      <c r="E518" s="1131">
        <f t="shared" si="1178"/>
        <v>0</v>
      </c>
      <c r="F518" s="1131">
        <f t="shared" si="1178"/>
        <v>0</v>
      </c>
      <c r="G518" s="1131">
        <f t="shared" si="1178"/>
        <v>0</v>
      </c>
      <c r="H518" s="419">
        <f t="shared" si="1178"/>
        <v>0</v>
      </c>
      <c r="I518" s="419">
        <f>I450-H450</f>
        <v>0</v>
      </c>
      <c r="J518" s="419">
        <f>J450-I450</f>
        <v>0</v>
      </c>
      <c r="K518" s="419">
        <f>K450-J450</f>
        <v>0</v>
      </c>
      <c r="L518" s="1131">
        <f>L450</f>
        <v>0</v>
      </c>
      <c r="M518" s="419">
        <f>M450</f>
        <v>0</v>
      </c>
      <c r="N518" s="419">
        <f>N450-M450</f>
        <v>0</v>
      </c>
      <c r="O518" s="419">
        <f>O450-N450</f>
        <v>0</v>
      </c>
      <c r="P518" s="419">
        <f>P450-O450</f>
        <v>0</v>
      </c>
      <c r="Q518" s="1131">
        <f>Q450</f>
        <v>0</v>
      </c>
      <c r="R518" s="419">
        <f>R450</f>
        <v>0</v>
      </c>
      <c r="S518" s="419">
        <f>S450-R450</f>
        <v>0</v>
      </c>
      <c r="T518" s="419">
        <f>T450-S450</f>
        <v>0</v>
      </c>
      <c r="U518" s="419">
        <f>U450-T450</f>
        <v>0</v>
      </c>
      <c r="V518" s="1131">
        <f>V450</f>
        <v>0</v>
      </c>
      <c r="W518" s="419">
        <f>W450</f>
        <v>0</v>
      </c>
      <c r="X518" s="419">
        <f>X450-W450</f>
        <v>0</v>
      </c>
      <c r="Y518" s="419">
        <f>Y450-X450</f>
        <v>0</v>
      </c>
      <c r="Z518" s="419">
        <f>Z450-Y450</f>
        <v>0</v>
      </c>
      <c r="AA518" s="1131">
        <f>AA450</f>
        <v>0</v>
      </c>
      <c r="AB518" s="419">
        <f>AB450</f>
        <v>0</v>
      </c>
      <c r="AC518" s="419">
        <f>AC450-AB450</f>
        <v>0</v>
      </c>
      <c r="AD518" s="419">
        <f>AD450-AC450</f>
        <v>0</v>
      </c>
      <c r="AE518" s="419">
        <f>AE450-AD450</f>
        <v>0</v>
      </c>
      <c r="AF518" s="1131">
        <f>AF450</f>
        <v>0</v>
      </c>
      <c r="AG518" s="419">
        <f>AG450</f>
        <v>0</v>
      </c>
      <c r="AH518" s="419">
        <f>AH450-AG450</f>
        <v>0</v>
      </c>
      <c r="AI518" s="419">
        <f>AI450-AH450</f>
        <v>0</v>
      </c>
      <c r="AJ518" s="419">
        <f>AJ450-AI450</f>
        <v>0</v>
      </c>
      <c r="AK518" s="1131">
        <f>AK450</f>
        <v>0</v>
      </c>
      <c r="AL518" s="419">
        <f>AL450</f>
        <v>0</v>
      </c>
      <c r="AM518" s="419">
        <f>AM450-AL450</f>
        <v>0</v>
      </c>
      <c r="AN518" s="419">
        <f>AN450-AM450</f>
        <v>0</v>
      </c>
      <c r="AO518" s="419">
        <f>AO450-AN450</f>
        <v>0</v>
      </c>
      <c r="AP518" s="1131">
        <f>AP450</f>
        <v>0</v>
      </c>
      <c r="AQ518" s="419">
        <f>AQ450</f>
        <v>0</v>
      </c>
      <c r="AR518" s="419">
        <f>AR450-AQ450</f>
        <v>0</v>
      </c>
      <c r="AS518" s="419">
        <f>AS450-AR450</f>
        <v>0</v>
      </c>
      <c r="AT518" s="419">
        <f>AT450-AS450</f>
        <v>0</v>
      </c>
      <c r="AU518" s="1131">
        <f>AU450</f>
        <v>0</v>
      </c>
      <c r="AV518" s="419">
        <f>AV450</f>
        <v>0</v>
      </c>
      <c r="AW518" s="419">
        <f>AW450-AV450</f>
        <v>0</v>
      </c>
      <c r="AX518" s="419">
        <f>AX450-AW450</f>
        <v>0</v>
      </c>
      <c r="AY518" s="419">
        <f>AY450-AX450</f>
        <v>0</v>
      </c>
      <c r="AZ518" s="1131">
        <f>AZ450</f>
        <v>0</v>
      </c>
      <c r="BA518" s="419">
        <f>BA450</f>
        <v>0</v>
      </c>
      <c r="BB518" s="419">
        <f>BB450-BA450</f>
        <v>0</v>
      </c>
      <c r="BC518" s="419">
        <f>BC450-BB450</f>
        <v>0</v>
      </c>
      <c r="BD518" s="288">
        <f>BD450-BC450</f>
        <v>0</v>
      </c>
      <c r="BE518" s="1131">
        <f>BE450</f>
        <v>0</v>
      </c>
      <c r="BF518" s="288">
        <f>BF450</f>
        <v>0</v>
      </c>
      <c r="BG518" s="419">
        <f t="shared" si="1179" ref="BG518">BG450-BF450</f>
        <v>0</v>
      </c>
      <c r="BH518" s="464">
        <f>BH450-BG450</f>
        <v>0</v>
      </c>
      <c r="BI518" s="1051">
        <v>0</v>
      </c>
      <c r="BJ518" s="1133">
        <f>SUM(BF518,BG518,BH518,BI518)</f>
        <v>0</v>
      </c>
      <c r="BK518" s="1051">
        <v>0</v>
      </c>
      <c r="BL518" s="1051">
        <v>0</v>
      </c>
      <c r="BM518" s="1051">
        <v>0</v>
      </c>
      <c r="BN518" s="1051">
        <v>0</v>
      </c>
      <c r="BO518" s="1133">
        <f>SUM(BK518,BL518,BM518,BN518)</f>
        <v>0</v>
      </c>
      <c r="BP518" s="1132">
        <v>0</v>
      </c>
      <c r="BQ518" s="1132">
        <v>0</v>
      </c>
      <c r="BR518" s="1160">
        <v>0</v>
      </c>
      <c r="BS518" s="119"/>
    </row>
    <row r="519" spans="1:71" s="681" customFormat="1" ht="15">
      <c r="A519" s="485" t="str">
        <f>A451</f>
        <v>Net Change in Cash Balance</v>
      </c>
      <c r="B519" s="509"/>
      <c r="C519" s="1147">
        <f t="shared" si="1180" ref="C519:AK519">C516+C497+C476+C518</f>
        <v>-144</v>
      </c>
      <c r="D519" s="1147">
        <f t="shared" si="1180"/>
        <v>-21</v>
      </c>
      <c r="E519" s="1147">
        <f t="shared" si="1180"/>
        <v>225</v>
      </c>
      <c r="F519" s="1147">
        <f t="shared" si="1180"/>
        <v>381</v>
      </c>
      <c r="G519" s="1147">
        <f t="shared" si="1180"/>
        <v>-66</v>
      </c>
      <c r="H519" s="426">
        <f t="shared" si="1180"/>
        <v>237</v>
      </c>
      <c r="I519" s="426">
        <f t="shared" si="1180"/>
        <v>240</v>
      </c>
      <c r="J519" s="426">
        <f t="shared" si="1180"/>
        <v>-806</v>
      </c>
      <c r="K519" s="426">
        <f t="shared" si="1180"/>
        <v>33</v>
      </c>
      <c r="L519" s="1147">
        <f t="shared" si="1180"/>
        <v>-296</v>
      </c>
      <c r="M519" s="426">
        <f t="shared" si="1180"/>
        <v>-131</v>
      </c>
      <c r="N519" s="426">
        <f t="shared" si="1180"/>
        <v>4</v>
      </c>
      <c r="O519" s="426">
        <f t="shared" si="1180"/>
        <v>-322</v>
      </c>
      <c r="P519" s="426">
        <f t="shared" si="1180"/>
        <v>326</v>
      </c>
      <c r="Q519" s="1147">
        <f t="shared" si="1180"/>
        <v>-123</v>
      </c>
      <c r="R519" s="426">
        <f t="shared" si="1180"/>
        <v>11</v>
      </c>
      <c r="S519" s="426">
        <f t="shared" si="1180"/>
        <v>317</v>
      </c>
      <c r="T519" s="426">
        <f t="shared" si="1180"/>
        <v>91</v>
      </c>
      <c r="U519" s="426">
        <f t="shared" si="1180"/>
        <v>468</v>
      </c>
      <c r="V519" s="1147">
        <f t="shared" si="1180"/>
        <v>887</v>
      </c>
      <c r="W519" s="426">
        <f t="shared" si="1180"/>
        <v>-217</v>
      </c>
      <c r="X519" s="426">
        <f t="shared" si="1180"/>
        <v>317</v>
      </c>
      <c r="Y519" s="426">
        <f t="shared" si="1180"/>
        <v>142</v>
      </c>
      <c r="Z519" s="426">
        <f t="shared" si="1180"/>
        <v>-11</v>
      </c>
      <c r="AA519" s="1147">
        <f t="shared" si="1180"/>
        <v>231</v>
      </c>
      <c r="AB519" s="426">
        <f t="shared" si="1180"/>
        <v>-679</v>
      </c>
      <c r="AC519" s="426">
        <f t="shared" si="1180"/>
        <v>151</v>
      </c>
      <c r="AD519" s="426">
        <f t="shared" si="1180"/>
        <v>199</v>
      </c>
      <c r="AE519" s="426">
        <f t="shared" si="1180"/>
        <v>-494</v>
      </c>
      <c r="AF519" s="1147">
        <f t="shared" si="1180"/>
        <v>-823</v>
      </c>
      <c r="AG519" s="426">
        <f t="shared" si="1180"/>
        <v>485</v>
      </c>
      <c r="AH519" s="426">
        <f t="shared" si="1180"/>
        <v>374</v>
      </c>
      <c r="AI519" s="426">
        <f t="shared" si="1180"/>
        <v>319</v>
      </c>
      <c r="AJ519" s="426">
        <f t="shared" si="1180"/>
        <v>-379</v>
      </c>
      <c r="AK519" s="1147">
        <f t="shared" si="1180"/>
        <v>799</v>
      </c>
      <c r="AL519" s="426">
        <f t="shared" si="1181" ref="AL519:AQ519">AL516+AL497+AL476+AL518</f>
        <v>-641</v>
      </c>
      <c r="AM519" s="426">
        <f t="shared" si="1181"/>
        <v>1025</v>
      </c>
      <c r="AN519" s="426">
        <f t="shared" si="1181"/>
        <v>1049</v>
      </c>
      <c r="AO519" s="426">
        <f t="shared" si="1181"/>
        <v>-937</v>
      </c>
      <c r="AP519" s="1147">
        <f t="shared" si="1181"/>
        <v>496</v>
      </c>
      <c r="AQ519" s="426">
        <f t="shared" si="1181"/>
        <v>-483</v>
      </c>
      <c r="AR519" s="426">
        <f t="shared" si="1182" ref="AR519:AZ519">AR516+AR497+AR476+AR518</f>
        <v>1038</v>
      </c>
      <c r="AS519" s="426">
        <f t="shared" si="1182"/>
        <v>-532</v>
      </c>
      <c r="AT519" s="426">
        <f t="shared" si="1182"/>
        <v>-702</v>
      </c>
      <c r="AU519" s="1147">
        <f t="shared" si="1182"/>
        <v>-679</v>
      </c>
      <c r="AV519" s="426">
        <f t="shared" si="1182"/>
        <v>-950</v>
      </c>
      <c r="AW519" s="426">
        <f t="shared" si="1182"/>
        <v>-214</v>
      </c>
      <c r="AX519" s="426">
        <f t="shared" si="1182"/>
        <v>-173</v>
      </c>
      <c r="AY519" s="426">
        <f t="shared" si="1182"/>
        <v>78</v>
      </c>
      <c r="AZ519" s="1147">
        <f t="shared" si="1182"/>
        <v>-1259</v>
      </c>
      <c r="BA519" s="426">
        <f t="shared" si="1183" ref="BA519:BB519">BA516+BA497+BA476+BA518</f>
        <v>-15</v>
      </c>
      <c r="BB519" s="426">
        <f t="shared" si="1183"/>
        <v>131</v>
      </c>
      <c r="BC519" s="426">
        <f>BC516+BC497+BC476+BC518</f>
        <v>233</v>
      </c>
      <c r="BD519" s="426">
        <f t="shared" si="1184" ref="BD519:BG519">BD516+BD497+BD476+BD518</f>
        <v>4</v>
      </c>
      <c r="BE519" s="1147">
        <f t="shared" si="1184"/>
        <v>353</v>
      </c>
      <c r="BF519" s="426">
        <f t="shared" si="1184"/>
        <v>-138</v>
      </c>
      <c r="BG519" s="426">
        <f t="shared" si="1184"/>
        <v>34</v>
      </c>
      <c r="BH519" s="487">
        <f>BH516+BH497+BH476+BH518</f>
        <v>201</v>
      </c>
      <c r="BI519" s="159">
        <f ca="1">BI516+BI497+BI476+BI518</f>
        <v>229.88897553364092</v>
      </c>
      <c r="BJ519" s="1148">
        <f ca="1">SUM(BI519,BH519,BG519,BF519)</f>
        <v>326.88897553364092</v>
      </c>
      <c r="BK519" s="159">
        <f ca="1" t="shared" si="1185" ref="BK519:BR519">BK516+BK497+BK476+BK518</f>
        <v>221.60819805916799</v>
      </c>
      <c r="BL519" s="159">
        <f t="shared" ca="1" si="1185"/>
        <v>495.74193252887142</v>
      </c>
      <c r="BM519" s="159">
        <f t="shared" ca="1" si="1185"/>
        <v>471.2024314495651</v>
      </c>
      <c r="BN519" s="159">
        <f t="shared" ca="1" si="1185"/>
        <v>630.4739625251857</v>
      </c>
      <c r="BO519" s="1148">
        <f t="shared" ca="1" si="1185"/>
        <v>1819.02652456279</v>
      </c>
      <c r="BP519" s="1147">
        <f t="shared" ca="1" si="1185"/>
        <v>2099.6183514849536</v>
      </c>
      <c r="BQ519" s="1147">
        <f t="shared" ca="1" si="1185"/>
        <v>2900.1728394992242</v>
      </c>
      <c r="BR519" s="1148">
        <f t="shared" ca="1" si="1185"/>
        <v>3031.8664395616674</v>
      </c>
      <c r="BS519" s="124"/>
    </row>
    <row r="520" spans="1:71" s="681" customFormat="1" ht="15">
      <c r="A520" s="485"/>
      <c r="B520" s="509"/>
      <c r="C520" s="1147"/>
      <c r="D520" s="1147"/>
      <c r="E520" s="1147"/>
      <c r="F520" s="1147"/>
      <c r="G520" s="1147"/>
      <c r="H520" s="426"/>
      <c r="I520" s="426"/>
      <c r="J520" s="426"/>
      <c r="K520" s="426"/>
      <c r="L520" s="1147"/>
      <c r="M520" s="426"/>
      <c r="N520" s="426"/>
      <c r="O520" s="426"/>
      <c r="P520" s="426"/>
      <c r="Q520" s="1147"/>
      <c r="R520" s="426"/>
      <c r="S520" s="426"/>
      <c r="T520" s="426"/>
      <c r="U520" s="426"/>
      <c r="V520" s="1147"/>
      <c r="W520" s="426"/>
      <c r="X520" s="426"/>
      <c r="Y520" s="426"/>
      <c r="Z520" s="426"/>
      <c r="AA520" s="1147"/>
      <c r="AB520" s="426"/>
      <c r="AC520" s="426"/>
      <c r="AD520" s="426"/>
      <c r="AE520" s="426"/>
      <c r="AF520" s="1147"/>
      <c r="AG520" s="426"/>
      <c r="AH520" s="426"/>
      <c r="AI520" s="426"/>
      <c r="AJ520" s="426"/>
      <c r="AK520" s="1147"/>
      <c r="AL520" s="426"/>
      <c r="AM520" s="426"/>
      <c r="AN520" s="426"/>
      <c r="AO520" s="426"/>
      <c r="AP520" s="1147"/>
      <c r="AQ520" s="426"/>
      <c r="AR520" s="426"/>
      <c r="AS520" s="426"/>
      <c r="AT520" s="426"/>
      <c r="AU520" s="1147"/>
      <c r="AV520" s="426"/>
      <c r="AW520" s="426"/>
      <c r="AX520" s="426"/>
      <c r="AY520" s="426"/>
      <c r="AZ520" s="1147"/>
      <c r="BA520" s="426"/>
      <c r="BB520" s="426"/>
      <c r="BC520" s="426"/>
      <c r="BD520" s="426"/>
      <c r="BE520" s="1147"/>
      <c r="BF520" s="426"/>
      <c r="BG520" s="426"/>
      <c r="BH520" s="487"/>
      <c r="BI520" s="159"/>
      <c r="BJ520" s="1148"/>
      <c r="BK520" s="159"/>
      <c r="BL520" s="159"/>
      <c r="BM520" s="159"/>
      <c r="BN520" s="159"/>
      <c r="BO520" s="1148"/>
      <c r="BP520" s="1147"/>
      <c r="BQ520" s="1147"/>
      <c r="BR520" s="1148"/>
      <c r="BS520" s="124"/>
    </row>
    <row r="521" spans="1:71" s="681" customFormat="1" ht="15">
      <c r="A521" s="485" t="str">
        <f>A453</f>
        <v>Beginning Cash Balance</v>
      </c>
      <c r="B521" s="509"/>
      <c r="C521" s="1147">
        <f>C453</f>
        <v>1264</v>
      </c>
      <c r="D521" s="1147">
        <f t="shared" si="1186" ref="D521:K521">C522</f>
        <v>1120</v>
      </c>
      <c r="E521" s="1147">
        <f t="shared" si="1186"/>
        <v>1099</v>
      </c>
      <c r="F521" s="1147">
        <f t="shared" si="1186"/>
        <v>1324</v>
      </c>
      <c r="G521" s="1147">
        <f t="shared" si="1186"/>
        <v>1705</v>
      </c>
      <c r="H521" s="426">
        <f t="shared" si="1186"/>
        <v>1639</v>
      </c>
      <c r="I521" s="426">
        <f t="shared" si="1186"/>
        <v>1876</v>
      </c>
      <c r="J521" s="426">
        <f t="shared" si="1186"/>
        <v>2116</v>
      </c>
      <c r="K521" s="426">
        <f t="shared" si="1186"/>
        <v>1310</v>
      </c>
      <c r="L521" s="1147">
        <f>G522</f>
        <v>1639</v>
      </c>
      <c r="M521" s="426">
        <f>L522</f>
        <v>1343</v>
      </c>
      <c r="N521" s="426">
        <f>M522</f>
        <v>1212</v>
      </c>
      <c r="O521" s="426">
        <f>N522</f>
        <v>1216</v>
      </c>
      <c r="P521" s="426">
        <f>O522</f>
        <v>894</v>
      </c>
      <c r="Q521" s="1147">
        <f>L522</f>
        <v>1343</v>
      </c>
      <c r="R521" s="426">
        <f>Q522</f>
        <v>1220</v>
      </c>
      <c r="S521" s="426">
        <f>R522</f>
        <v>1231</v>
      </c>
      <c r="T521" s="426">
        <f>S522</f>
        <v>1548</v>
      </c>
      <c r="U521" s="426">
        <f>T522</f>
        <v>1639</v>
      </c>
      <c r="V521" s="1147">
        <f>Q522</f>
        <v>1220</v>
      </c>
      <c r="W521" s="426">
        <f>V522</f>
        <v>2107</v>
      </c>
      <c r="X521" s="426">
        <f>W522</f>
        <v>1890</v>
      </c>
      <c r="Y521" s="426">
        <f>X522</f>
        <v>2207</v>
      </c>
      <c r="Z521" s="426">
        <f>Y522</f>
        <v>2349</v>
      </c>
      <c r="AA521" s="1147">
        <f>V522</f>
        <v>2107</v>
      </c>
      <c r="AB521" s="426">
        <f>AA522</f>
        <v>2338</v>
      </c>
      <c r="AC521" s="426">
        <f>AB522</f>
        <v>1659</v>
      </c>
      <c r="AD521" s="426">
        <f>AC522</f>
        <v>1810</v>
      </c>
      <c r="AE521" s="426">
        <f>AD522</f>
        <v>2009</v>
      </c>
      <c r="AF521" s="1147">
        <f>AA522</f>
        <v>2338</v>
      </c>
      <c r="AG521" s="426">
        <f>AF522</f>
        <v>1515</v>
      </c>
      <c r="AH521" s="426">
        <f>AG522</f>
        <v>2000</v>
      </c>
      <c r="AI521" s="426">
        <f>AH522</f>
        <v>2374</v>
      </c>
      <c r="AJ521" s="426">
        <f>AI522</f>
        <v>2693</v>
      </c>
      <c r="AK521" s="1147">
        <f>AF522</f>
        <v>1515</v>
      </c>
      <c r="AL521" s="426">
        <f>AK522</f>
        <v>2314</v>
      </c>
      <c r="AM521" s="426">
        <f>AL522</f>
        <v>1673</v>
      </c>
      <c r="AN521" s="426">
        <f>AM522</f>
        <v>2698</v>
      </c>
      <c r="AO521" s="426">
        <f>AN522</f>
        <v>3747</v>
      </c>
      <c r="AP521" s="1147">
        <f>AK522</f>
        <v>2314</v>
      </c>
      <c r="AQ521" s="426">
        <f>AP522</f>
        <v>2810</v>
      </c>
      <c r="AR521" s="426">
        <f>AQ522</f>
        <v>2327</v>
      </c>
      <c r="AS521" s="426">
        <f>AR522</f>
        <v>3365</v>
      </c>
      <c r="AT521" s="426">
        <f>AS522</f>
        <v>2833</v>
      </c>
      <c r="AU521" s="1147">
        <f>AP522</f>
        <v>2810</v>
      </c>
      <c r="AV521" s="426">
        <f>AU522</f>
        <v>2131</v>
      </c>
      <c r="AW521" s="426">
        <f>AV522</f>
        <v>1181</v>
      </c>
      <c r="AX521" s="426">
        <f>AW522</f>
        <v>967</v>
      </c>
      <c r="AY521" s="426">
        <f>AX522</f>
        <v>794</v>
      </c>
      <c r="AZ521" s="1147">
        <f>AU522</f>
        <v>2131</v>
      </c>
      <c r="BA521" s="426">
        <f>AZ522</f>
        <v>872</v>
      </c>
      <c r="BB521" s="426">
        <f>BA522</f>
        <v>857</v>
      </c>
      <c r="BC521" s="426">
        <f>BB522</f>
        <v>988</v>
      </c>
      <c r="BD521" s="426">
        <f>BC522</f>
        <v>1221</v>
      </c>
      <c r="BE521" s="1147">
        <f>AZ522</f>
        <v>872</v>
      </c>
      <c r="BF521" s="426">
        <f>BE522</f>
        <v>1225</v>
      </c>
      <c r="BG521" s="426">
        <f>BF522</f>
        <v>1087</v>
      </c>
      <c r="BH521" s="487">
        <f>BG522</f>
        <v>1121</v>
      </c>
      <c r="BI521" s="159">
        <f>BH522</f>
        <v>1322</v>
      </c>
      <c r="BJ521" s="1148">
        <f>BE522</f>
        <v>1225</v>
      </c>
      <c r="BK521" s="159">
        <f ca="1">BJ522</f>
        <v>1551.8889755336409</v>
      </c>
      <c r="BL521" s="159">
        <f ca="1">BK522</f>
        <v>1773.4971735928088</v>
      </c>
      <c r="BM521" s="159">
        <f ca="1">BL522</f>
        <v>2269.2391061216804</v>
      </c>
      <c r="BN521" s="159">
        <f ca="1">BM522</f>
        <v>2740.4415375712456</v>
      </c>
      <c r="BO521" s="1148">
        <f ca="1">BJ522</f>
        <v>1551.8889755336409</v>
      </c>
      <c r="BP521" s="1147">
        <f ca="1">BO522</f>
        <v>3370.9155000964311</v>
      </c>
      <c r="BQ521" s="1147">
        <f ca="1">BP522</f>
        <v>5470.5338515813846</v>
      </c>
      <c r="BR521" s="1148">
        <f ca="1">BQ522</f>
        <v>8370.7066910806097</v>
      </c>
      <c r="BS521" s="124"/>
    </row>
    <row r="522" spans="1:71" s="681" customFormat="1" ht="15">
      <c r="A522" s="485" t="str">
        <f>A454</f>
        <v>Ending Cash Balance</v>
      </c>
      <c r="B522" s="509"/>
      <c r="C522" s="1147">
        <f t="shared" si="1187" ref="C522:AK522">C521+C519</f>
        <v>1120</v>
      </c>
      <c r="D522" s="1147">
        <f t="shared" si="1187"/>
        <v>1099</v>
      </c>
      <c r="E522" s="1147">
        <f t="shared" si="1187"/>
        <v>1324</v>
      </c>
      <c r="F522" s="1147">
        <f t="shared" si="1187"/>
        <v>1705</v>
      </c>
      <c r="G522" s="1147">
        <f t="shared" si="1187"/>
        <v>1639</v>
      </c>
      <c r="H522" s="426">
        <f t="shared" si="1187"/>
        <v>1876</v>
      </c>
      <c r="I522" s="426">
        <f t="shared" si="1187"/>
        <v>2116</v>
      </c>
      <c r="J522" s="426">
        <f t="shared" si="1187"/>
        <v>1310</v>
      </c>
      <c r="K522" s="426">
        <f t="shared" si="1187"/>
        <v>1343</v>
      </c>
      <c r="L522" s="1147">
        <f t="shared" si="1187"/>
        <v>1343</v>
      </c>
      <c r="M522" s="426">
        <f t="shared" si="1187"/>
        <v>1212</v>
      </c>
      <c r="N522" s="426">
        <f t="shared" si="1187"/>
        <v>1216</v>
      </c>
      <c r="O522" s="426">
        <f t="shared" si="1187"/>
        <v>894</v>
      </c>
      <c r="P522" s="426">
        <f t="shared" si="1187"/>
        <v>1220</v>
      </c>
      <c r="Q522" s="1147">
        <f t="shared" si="1187"/>
        <v>1220</v>
      </c>
      <c r="R522" s="426">
        <f t="shared" si="1187"/>
        <v>1231</v>
      </c>
      <c r="S522" s="426">
        <f t="shared" si="1187"/>
        <v>1548</v>
      </c>
      <c r="T522" s="426">
        <f t="shared" si="1187"/>
        <v>1639</v>
      </c>
      <c r="U522" s="426">
        <f t="shared" si="1187"/>
        <v>2107</v>
      </c>
      <c r="V522" s="1147">
        <f t="shared" si="1187"/>
        <v>2107</v>
      </c>
      <c r="W522" s="426">
        <f t="shared" si="1187"/>
        <v>1890</v>
      </c>
      <c r="X522" s="426">
        <f t="shared" si="1187"/>
        <v>2207</v>
      </c>
      <c r="Y522" s="426">
        <f t="shared" si="1187"/>
        <v>2349</v>
      </c>
      <c r="Z522" s="426">
        <f t="shared" si="1187"/>
        <v>2338</v>
      </c>
      <c r="AA522" s="1147">
        <f t="shared" si="1187"/>
        <v>2338</v>
      </c>
      <c r="AB522" s="426">
        <f t="shared" si="1187"/>
        <v>1659</v>
      </c>
      <c r="AC522" s="426">
        <f t="shared" si="1187"/>
        <v>1810</v>
      </c>
      <c r="AD522" s="426">
        <f t="shared" si="1187"/>
        <v>2009</v>
      </c>
      <c r="AE522" s="426">
        <f t="shared" si="1187"/>
        <v>1515</v>
      </c>
      <c r="AF522" s="1147">
        <f t="shared" si="1187"/>
        <v>1515</v>
      </c>
      <c r="AG522" s="426">
        <f t="shared" si="1187"/>
        <v>2000</v>
      </c>
      <c r="AH522" s="426">
        <f t="shared" si="1187"/>
        <v>2374</v>
      </c>
      <c r="AI522" s="426">
        <f t="shared" si="1187"/>
        <v>2693</v>
      </c>
      <c r="AJ522" s="426">
        <f t="shared" si="1187"/>
        <v>2314</v>
      </c>
      <c r="AK522" s="1147">
        <f t="shared" si="1187"/>
        <v>2314</v>
      </c>
      <c r="AL522" s="426">
        <f t="shared" si="1188" ref="AL522:AQ522">AL521+AL519</f>
        <v>1673</v>
      </c>
      <c r="AM522" s="426">
        <f t="shared" si="1188"/>
        <v>2698</v>
      </c>
      <c r="AN522" s="426">
        <f t="shared" si="1188"/>
        <v>3747</v>
      </c>
      <c r="AO522" s="426">
        <f t="shared" si="1188"/>
        <v>2810</v>
      </c>
      <c r="AP522" s="1147">
        <f t="shared" si="1188"/>
        <v>2810</v>
      </c>
      <c r="AQ522" s="426">
        <f t="shared" si="1188"/>
        <v>2327</v>
      </c>
      <c r="AR522" s="426">
        <f t="shared" si="1189" ref="AR522:AZ522">AR521+AR519</f>
        <v>3365</v>
      </c>
      <c r="AS522" s="426">
        <f t="shared" si="1189"/>
        <v>2833</v>
      </c>
      <c r="AT522" s="426">
        <f t="shared" si="1189"/>
        <v>2131</v>
      </c>
      <c r="AU522" s="1147">
        <f t="shared" si="1189"/>
        <v>2131</v>
      </c>
      <c r="AV522" s="426">
        <f t="shared" si="1189"/>
        <v>1181</v>
      </c>
      <c r="AW522" s="426">
        <f t="shared" si="1189"/>
        <v>967</v>
      </c>
      <c r="AX522" s="426">
        <f t="shared" si="1189"/>
        <v>794</v>
      </c>
      <c r="AY522" s="426">
        <f t="shared" si="1189"/>
        <v>872</v>
      </c>
      <c r="AZ522" s="1147">
        <f t="shared" si="1189"/>
        <v>872</v>
      </c>
      <c r="BA522" s="426">
        <f t="shared" si="1190" ref="BA522:BB522">BA521+BA519</f>
        <v>857</v>
      </c>
      <c r="BB522" s="426">
        <f t="shared" si="1190"/>
        <v>988</v>
      </c>
      <c r="BC522" s="426">
        <f>BC521+BC519</f>
        <v>1221</v>
      </c>
      <c r="BD522" s="426">
        <f t="shared" si="1191" ref="BD522:BG522">BD521+BD519</f>
        <v>1225</v>
      </c>
      <c r="BE522" s="1147">
        <f t="shared" si="1191"/>
        <v>1225</v>
      </c>
      <c r="BF522" s="426">
        <f t="shared" si="1191"/>
        <v>1087</v>
      </c>
      <c r="BG522" s="426">
        <f t="shared" si="1191"/>
        <v>1121</v>
      </c>
      <c r="BH522" s="487">
        <f>BH521+BH519</f>
        <v>1322</v>
      </c>
      <c r="BI522" s="159">
        <f ca="1">BI521+BI519</f>
        <v>1551.8889755336409</v>
      </c>
      <c r="BJ522" s="1148">
        <f ca="1" t="shared" si="1192" ref="BJ522">BJ521+BJ519</f>
        <v>1551.8889755336409</v>
      </c>
      <c r="BK522" s="159">
        <f ca="1" t="shared" si="1193" ref="BK522:BR522">BK521+BK519</f>
        <v>1773.4971735928088</v>
      </c>
      <c r="BL522" s="159">
        <f t="shared" ca="1" si="1193"/>
        <v>2269.2391061216804</v>
      </c>
      <c r="BM522" s="159">
        <f t="shared" ca="1" si="1193"/>
        <v>2740.4415375712456</v>
      </c>
      <c r="BN522" s="159">
        <f t="shared" ca="1" si="1193"/>
        <v>3370.9155000964311</v>
      </c>
      <c r="BO522" s="1148">
        <f t="shared" ca="1" si="1193"/>
        <v>3370.9155000964311</v>
      </c>
      <c r="BP522" s="1147">
        <f t="shared" ca="1" si="1193"/>
        <v>5470.5338515813846</v>
      </c>
      <c r="BQ522" s="1147">
        <f t="shared" ca="1" si="1193"/>
        <v>8370.7066910806097</v>
      </c>
      <c r="BR522" s="1148">
        <f t="shared" ca="1" si="1193"/>
        <v>11402.573130642277</v>
      </c>
      <c r="BS522" s="124"/>
    </row>
    <row r="523" spans="1:71" s="681" customFormat="1" ht="15">
      <c r="A523" s="485"/>
      <c r="B523" s="509"/>
      <c r="C523" s="1147"/>
      <c r="D523" s="1147"/>
      <c r="E523" s="1147"/>
      <c r="F523" s="1147"/>
      <c r="G523" s="1147"/>
      <c r="H523" s="426"/>
      <c r="I523" s="426"/>
      <c r="J523" s="426"/>
      <c r="K523" s="426"/>
      <c r="L523" s="1147"/>
      <c r="M523" s="426"/>
      <c r="N523" s="426"/>
      <c r="O523" s="426"/>
      <c r="P523" s="426"/>
      <c r="Q523" s="1147"/>
      <c r="R523" s="426"/>
      <c r="S523" s="426"/>
      <c r="T523" s="426"/>
      <c r="U523" s="426"/>
      <c r="V523" s="1147"/>
      <c r="W523" s="426"/>
      <c r="X523" s="426"/>
      <c r="Y523" s="426"/>
      <c r="Z523" s="426"/>
      <c r="AA523" s="1147"/>
      <c r="AB523" s="426"/>
      <c r="AC523" s="426"/>
      <c r="AD523" s="426"/>
      <c r="AE523" s="426"/>
      <c r="AF523" s="1147"/>
      <c r="AG523" s="426"/>
      <c r="AH523" s="426"/>
      <c r="AI523" s="426"/>
      <c r="AJ523" s="426"/>
      <c r="AK523" s="1147"/>
      <c r="AL523" s="426"/>
      <c r="AM523" s="426"/>
      <c r="AN523" s="426"/>
      <c r="AO523" s="426"/>
      <c r="AP523" s="1147"/>
      <c r="AQ523" s="426"/>
      <c r="AR523" s="426"/>
      <c r="AS523" s="426"/>
      <c r="AT523" s="426"/>
      <c r="AU523" s="1147"/>
      <c r="AV523" s="426"/>
      <c r="AW523" s="426"/>
      <c r="AX523" s="426"/>
      <c r="AY523" s="426"/>
      <c r="AZ523" s="1147"/>
      <c r="BA523" s="426"/>
      <c r="BB523" s="426"/>
      <c r="BC523" s="426"/>
      <c r="BD523" s="426"/>
      <c r="BE523" s="1147"/>
      <c r="BF523" s="426"/>
      <c r="BG523" s="426"/>
      <c r="BH523" s="487"/>
      <c r="BI523" s="159"/>
      <c r="BJ523" s="1148"/>
      <c r="BK523" s="159"/>
      <c r="BL523" s="159"/>
      <c r="BM523" s="159"/>
      <c r="BN523" s="159"/>
      <c r="BO523" s="1148"/>
      <c r="BP523" s="1147"/>
      <c r="BQ523" s="1147"/>
      <c r="BR523" s="1148"/>
      <c r="BS523" s="124"/>
    </row>
    <row r="524" spans="1:71" s="680" customFormat="1" ht="15">
      <c r="A524" s="421" t="str">
        <f>A456</f>
        <v>Cash paid for interest on long term debt</v>
      </c>
      <c r="B524" s="417"/>
      <c r="C524" s="1131">
        <f t="shared" si="1194" ref="C524:G525">C456</f>
        <v>64</v>
      </c>
      <c r="D524" s="1131">
        <f t="shared" si="1194"/>
        <v>68</v>
      </c>
      <c r="E524" s="1131">
        <f t="shared" si="1194"/>
        <v>74</v>
      </c>
      <c r="F524" s="1131">
        <f t="shared" si="1194"/>
        <v>75</v>
      </c>
      <c r="G524" s="1131">
        <f t="shared" si="1194"/>
        <v>71</v>
      </c>
      <c r="H524" s="419"/>
      <c r="I524" s="419"/>
      <c r="J524" s="419"/>
      <c r="K524" s="419"/>
      <c r="L524" s="1131">
        <f>L456</f>
        <v>72</v>
      </c>
      <c r="M524" s="419"/>
      <c r="N524" s="419"/>
      <c r="O524" s="419"/>
      <c r="P524" s="419"/>
      <c r="Q524" s="1131">
        <f>Q456</f>
        <v>75</v>
      </c>
      <c r="R524" s="419"/>
      <c r="S524" s="419"/>
      <c r="T524" s="419"/>
      <c r="U524" s="419"/>
      <c r="V524" s="1131">
        <f>V456</f>
        <v>75</v>
      </c>
      <c r="W524" s="419"/>
      <c r="X524" s="419"/>
      <c r="Y524" s="419"/>
      <c r="Z524" s="419"/>
      <c r="AA524" s="1131">
        <f>AA456</f>
        <v>85</v>
      </c>
      <c r="AB524" s="419"/>
      <c r="AC524" s="419"/>
      <c r="AD524" s="419"/>
      <c r="AE524" s="419"/>
      <c r="AF524" s="1131">
        <f>AF456</f>
        <v>59</v>
      </c>
      <c r="AG524" s="419"/>
      <c r="AH524" s="419"/>
      <c r="AI524" s="419"/>
      <c r="AJ524" s="419"/>
      <c r="AK524" s="1131">
        <f>AK456</f>
        <v>65</v>
      </c>
      <c r="AL524" s="419"/>
      <c r="AM524" s="419"/>
      <c r="AN524" s="419"/>
      <c r="AO524" s="419"/>
      <c r="AP524" s="1131">
        <f>AP456</f>
        <v>83</v>
      </c>
      <c r="AQ524" s="419"/>
      <c r="AR524" s="419"/>
      <c r="AS524" s="419"/>
      <c r="AT524" s="419"/>
      <c r="AU524" s="1131">
        <f>AU456</f>
        <v>92</v>
      </c>
      <c r="AV524" s="419"/>
      <c r="AW524" s="419"/>
      <c r="AX524" s="419"/>
      <c r="AY524" s="419"/>
      <c r="AZ524" s="1131">
        <f>AZ456</f>
        <v>89</v>
      </c>
      <c r="BA524" s="419"/>
      <c r="BB524" s="419"/>
      <c r="BC524" s="419"/>
      <c r="BD524" s="419"/>
      <c r="BE524" s="1131"/>
      <c r="BF524" s="419"/>
      <c r="BG524" s="419"/>
      <c r="BH524" s="464"/>
      <c r="BI524" s="171"/>
      <c r="BJ524" s="1133"/>
      <c r="BK524" s="171"/>
      <c r="BL524" s="171"/>
      <c r="BM524" s="171"/>
      <c r="BN524" s="171"/>
      <c r="BO524" s="1133"/>
      <c r="BP524" s="1131"/>
      <c r="BQ524" s="1131"/>
      <c r="BR524" s="1133"/>
      <c r="BS524" s="119"/>
    </row>
    <row r="525" spans="1:71" s="680" customFormat="1" ht="15">
      <c r="A525" s="421" t="str">
        <f>A457</f>
        <v>Cash paid for income taxes, net of refunds</v>
      </c>
      <c r="B525" s="417"/>
      <c r="C525" s="1131">
        <f t="shared" si="1194"/>
        <v>190</v>
      </c>
      <c r="D525" s="1131">
        <f t="shared" si="1194"/>
        <v>196</v>
      </c>
      <c r="E525" s="1131">
        <f t="shared" si="1194"/>
        <v>157</v>
      </c>
      <c r="F525" s="1131">
        <f t="shared" si="1194"/>
        <v>277</v>
      </c>
      <c r="G525" s="1131">
        <f t="shared" si="1194"/>
        <v>204</v>
      </c>
      <c r="H525" s="419"/>
      <c r="I525" s="419"/>
      <c r="J525" s="419"/>
      <c r="K525" s="419"/>
      <c r="L525" s="1131">
        <f>L457</f>
        <v>347</v>
      </c>
      <c r="M525" s="419"/>
      <c r="N525" s="419"/>
      <c r="O525" s="419"/>
      <c r="P525" s="419"/>
      <c r="Q525" s="1131">
        <f>Q457</f>
        <v>234</v>
      </c>
      <c r="R525" s="419"/>
      <c r="S525" s="419"/>
      <c r="T525" s="419"/>
      <c r="U525" s="419"/>
      <c r="V525" s="1131">
        <f>V457</f>
        <v>308</v>
      </c>
      <c r="W525" s="419"/>
      <c r="X525" s="419"/>
      <c r="Y525" s="419"/>
      <c r="Z525" s="419"/>
      <c r="AA525" s="1131">
        <f>AA457</f>
        <v>194</v>
      </c>
      <c r="AB525" s="419"/>
      <c r="AC525" s="419"/>
      <c r="AD525" s="419"/>
      <c r="AE525" s="419"/>
      <c r="AF525" s="1131">
        <f>AF457</f>
        <v>156</v>
      </c>
      <c r="AG525" s="419"/>
      <c r="AH525" s="419"/>
      <c r="AI525" s="419"/>
      <c r="AJ525" s="419"/>
      <c r="AK525" s="1131">
        <f>AK457</f>
        <v>278</v>
      </c>
      <c r="AL525" s="419"/>
      <c r="AM525" s="419"/>
      <c r="AN525" s="419"/>
      <c r="AO525" s="419"/>
      <c r="AP525" s="1131">
        <f>AP457</f>
        <v>179</v>
      </c>
      <c r="AQ525" s="419"/>
      <c r="AR525" s="419"/>
      <c r="AS525" s="419"/>
      <c r="AT525" s="419"/>
      <c r="AU525" s="1131">
        <f>AU457</f>
        <v>212</v>
      </c>
      <c r="AV525" s="419"/>
      <c r="AW525" s="419"/>
      <c r="AX525" s="419"/>
      <c r="AY525" s="419"/>
      <c r="AZ525" s="1131">
        <f>AZ457</f>
        <v>242</v>
      </c>
      <c r="BA525" s="419"/>
      <c r="BB525" s="419"/>
      <c r="BC525" s="419"/>
      <c r="BD525" s="419"/>
      <c r="BE525" s="1131"/>
      <c r="BF525" s="419"/>
      <c r="BG525" s="419"/>
      <c r="BH525" s="464"/>
      <c r="BI525" s="171"/>
      <c r="BJ525" s="1133"/>
      <c r="BK525" s="171"/>
      <c r="BL525" s="171"/>
      <c r="BM525" s="171"/>
      <c r="BN525" s="171"/>
      <c r="BO525" s="1133"/>
      <c r="BP525" s="1131"/>
      <c r="BQ525" s="1131"/>
      <c r="BR525" s="1133"/>
      <c r="BS525" s="119"/>
    </row>
    <row r="526" spans="1:71" s="674" customFormat="1" ht="15">
      <c r="A526" s="485"/>
      <c r="B526" s="509"/>
      <c r="C526" s="1147"/>
      <c r="D526" s="1147"/>
      <c r="E526" s="1147"/>
      <c r="F526" s="1147"/>
      <c r="G526" s="1147"/>
      <c r="H526" s="426"/>
      <c r="I526" s="426"/>
      <c r="J526" s="426"/>
      <c r="K526" s="426"/>
      <c r="L526" s="1147"/>
      <c r="M526" s="426"/>
      <c r="N526" s="426"/>
      <c r="O526" s="426"/>
      <c r="P526" s="426"/>
      <c r="Q526" s="1147"/>
      <c r="R526" s="426"/>
      <c r="S526" s="426"/>
      <c r="T526" s="426"/>
      <c r="U526" s="426"/>
      <c r="V526" s="1147"/>
      <c r="W526" s="426"/>
      <c r="X526" s="426"/>
      <c r="Y526" s="426"/>
      <c r="Z526" s="426"/>
      <c r="AA526" s="1147"/>
      <c r="AB526" s="426"/>
      <c r="AC526" s="426"/>
      <c r="AD526" s="426"/>
      <c r="AE526" s="426"/>
      <c r="AF526" s="1147"/>
      <c r="AG526" s="426"/>
      <c r="AH526" s="426"/>
      <c r="AI526" s="426"/>
      <c r="AJ526" s="426"/>
      <c r="AK526" s="1147"/>
      <c r="AL526" s="426"/>
      <c r="AM526" s="426"/>
      <c r="AN526" s="426"/>
      <c r="AO526" s="426"/>
      <c r="AP526" s="1147"/>
      <c r="AQ526" s="426"/>
      <c r="AR526" s="426"/>
      <c r="AS526" s="426"/>
      <c r="AT526" s="426"/>
      <c r="AU526" s="1147"/>
      <c r="AV526" s="426"/>
      <c r="AW526" s="426"/>
      <c r="AX526" s="426"/>
      <c r="AY526" s="426"/>
      <c r="AZ526" s="1147"/>
      <c r="BA526" s="426"/>
      <c r="BB526" s="426"/>
      <c r="BC526" s="426"/>
      <c r="BD526" s="426"/>
      <c r="BE526" s="1147"/>
      <c r="BF526" s="426"/>
      <c r="BG526" s="426"/>
      <c r="BH526" s="487"/>
      <c r="BI526" s="159"/>
      <c r="BJ526" s="1148"/>
      <c r="BK526" s="159"/>
      <c r="BL526" s="159"/>
      <c r="BM526" s="159"/>
      <c r="BN526" s="159"/>
      <c r="BO526" s="1148"/>
      <c r="BP526" s="1147"/>
      <c r="BQ526" s="1147"/>
      <c r="BR526" s="1148"/>
      <c r="BS526" s="37"/>
    </row>
    <row r="527" spans="1:71" s="673" customFormat="1" ht="15">
      <c r="A527" s="142" t="s">
        <v>314</v>
      </c>
      <c r="B527" s="142"/>
      <c r="C527" s="279">
        <f t="shared" si="1195" ref="C527:AK527">ROUND(C522-C531,6)</f>
        <v>0</v>
      </c>
      <c r="D527" s="279">
        <f t="shared" si="1195"/>
        <v>0</v>
      </c>
      <c r="E527" s="279">
        <f t="shared" si="1195"/>
        <v>0</v>
      </c>
      <c r="F527" s="279">
        <f t="shared" si="1195"/>
        <v>0</v>
      </c>
      <c r="G527" s="279">
        <f t="shared" si="1195"/>
        <v>0</v>
      </c>
      <c r="H527" s="279">
        <f t="shared" si="1195"/>
        <v>0</v>
      </c>
      <c r="I527" s="279">
        <f t="shared" si="1195"/>
        <v>0</v>
      </c>
      <c r="J527" s="279">
        <f t="shared" si="1195"/>
        <v>0</v>
      </c>
      <c r="K527" s="279">
        <f t="shared" si="1195"/>
        <v>0</v>
      </c>
      <c r="L527" s="279">
        <f t="shared" si="1195"/>
        <v>0</v>
      </c>
      <c r="M527" s="279">
        <f t="shared" si="1195"/>
        <v>0</v>
      </c>
      <c r="N527" s="279">
        <f t="shared" si="1195"/>
        <v>0</v>
      </c>
      <c r="O527" s="279">
        <f t="shared" si="1195"/>
        <v>0</v>
      </c>
      <c r="P527" s="279">
        <f t="shared" si="1195"/>
        <v>0</v>
      </c>
      <c r="Q527" s="279">
        <f t="shared" si="1195"/>
        <v>0</v>
      </c>
      <c r="R527" s="279">
        <f t="shared" si="1195"/>
        <v>0</v>
      </c>
      <c r="S527" s="279">
        <f t="shared" si="1195"/>
        <v>0</v>
      </c>
      <c r="T527" s="279">
        <f t="shared" si="1195"/>
        <v>0</v>
      </c>
      <c r="U527" s="279">
        <f t="shared" si="1195"/>
        <v>0</v>
      </c>
      <c r="V527" s="279">
        <f t="shared" si="1195"/>
        <v>0</v>
      </c>
      <c r="W527" s="279">
        <f t="shared" si="1195"/>
        <v>0</v>
      </c>
      <c r="X527" s="279">
        <f t="shared" si="1195"/>
        <v>0</v>
      </c>
      <c r="Y527" s="279">
        <f t="shared" si="1195"/>
        <v>0</v>
      </c>
      <c r="Z527" s="279">
        <f t="shared" si="1195"/>
        <v>0</v>
      </c>
      <c r="AA527" s="279">
        <f t="shared" si="1195"/>
        <v>0</v>
      </c>
      <c r="AB527" s="279">
        <f t="shared" si="1195"/>
        <v>0</v>
      </c>
      <c r="AC527" s="279">
        <f t="shared" si="1195"/>
        <v>0</v>
      </c>
      <c r="AD527" s="279">
        <f t="shared" si="1195"/>
        <v>0</v>
      </c>
      <c r="AE527" s="279">
        <f t="shared" si="1195"/>
        <v>0</v>
      </c>
      <c r="AF527" s="279">
        <f t="shared" si="1195"/>
        <v>0</v>
      </c>
      <c r="AG527" s="279">
        <f t="shared" si="1195"/>
        <v>0</v>
      </c>
      <c r="AH527" s="279">
        <f t="shared" si="1195"/>
        <v>0</v>
      </c>
      <c r="AI527" s="279">
        <f t="shared" si="1195"/>
        <v>0</v>
      </c>
      <c r="AJ527" s="279">
        <f t="shared" si="1195"/>
        <v>0</v>
      </c>
      <c r="AK527" s="279">
        <f t="shared" si="1195"/>
        <v>0</v>
      </c>
      <c r="AL527" s="279">
        <f>ROUND(AL522-AL531,6)</f>
        <v>0</v>
      </c>
      <c r="AM527" s="279">
        <f>ROUND(AM522-AM531,6)</f>
        <v>0</v>
      </c>
      <c r="AN527" s="279">
        <f>ROUND(AN522-AN531,6)</f>
        <v>0</v>
      </c>
      <c r="AO527" s="279">
        <f>ROUND(AO522-AO531,6)</f>
        <v>0</v>
      </c>
      <c r="AP527" s="279">
        <f>ROUND(AP522-AP531,6)</f>
        <v>0</v>
      </c>
      <c r="AQ527" s="279">
        <f>ROUND(AQ522-AQ531-AQ532,6)</f>
        <v>0</v>
      </c>
      <c r="AR527" s="279">
        <f t="shared" si="1196" ref="AR527:AZ527">ROUND(AR522-AR531-AR532,6)</f>
        <v>0</v>
      </c>
      <c r="AS527" s="279">
        <f t="shared" si="1196"/>
        <v>0</v>
      </c>
      <c r="AT527" s="279">
        <f t="shared" si="1196"/>
        <v>0</v>
      </c>
      <c r="AU527" s="279">
        <f t="shared" si="1196"/>
        <v>0</v>
      </c>
      <c r="AV527" s="279">
        <f>ROUND(AV522-AV531-AV532,6)</f>
        <v>0</v>
      </c>
      <c r="AW527" s="279">
        <f>ROUND(AW522-AW531-AW532,6)</f>
        <v>0</v>
      </c>
      <c r="AX527" s="279">
        <f t="shared" si="1196"/>
        <v>0</v>
      </c>
      <c r="AY527" s="279">
        <f t="shared" si="1196"/>
        <v>0</v>
      </c>
      <c r="AZ527" s="279">
        <f t="shared" si="1196"/>
        <v>0</v>
      </c>
      <c r="BA527" s="279">
        <f t="shared" si="1197" ref="BA527:BJ527">ROUND(BA522-BA531-BA532,6)</f>
        <v>0</v>
      </c>
      <c r="BB527" s="279">
        <f t="shared" si="1197"/>
        <v>0</v>
      </c>
      <c r="BC527" s="279">
        <f>ROUND(BC522-BC531-BC532,6)</f>
        <v>0</v>
      </c>
      <c r="BD527" s="279">
        <f t="shared" si="1197"/>
        <v>0</v>
      </c>
      <c r="BE527" s="279">
        <f t="shared" si="1197"/>
        <v>0</v>
      </c>
      <c r="BF527" s="279">
        <f>ROUND(BF522-BF531-BF532,6)</f>
        <v>0</v>
      </c>
      <c r="BG527" s="279">
        <f>ROUND(BG522-BG531-BG532,6)</f>
        <v>0</v>
      </c>
      <c r="BH527" s="378">
        <f>ROUND(BH522-BH531-BH532,6)</f>
        <v>0</v>
      </c>
      <c r="BI527" s="143">
        <f ca="1">ROUND(BI522-BI531-BI532,6)</f>
        <v>0</v>
      </c>
      <c r="BJ527" s="143">
        <f t="shared" ca="1" si="1197"/>
        <v>0</v>
      </c>
      <c r="BK527" s="143">
        <f ca="1" t="shared" si="1198" ref="BK527:BR527">ROUND(BK522-BK531-BK532,6)</f>
        <v>0</v>
      </c>
      <c r="BL527" s="143">
        <f t="shared" ca="1" si="1198"/>
        <v>0</v>
      </c>
      <c r="BM527" s="143">
        <f t="shared" ca="1" si="1198"/>
        <v>0</v>
      </c>
      <c r="BN527" s="143">
        <f t="shared" ca="1" si="1198"/>
        <v>0</v>
      </c>
      <c r="BO527" s="143">
        <f t="shared" ca="1" si="1198"/>
        <v>0</v>
      </c>
      <c r="BP527" s="279">
        <f t="shared" ca="1" si="1198"/>
        <v>0</v>
      </c>
      <c r="BQ527" s="279">
        <f t="shared" ca="1" si="1198"/>
        <v>0</v>
      </c>
      <c r="BR527" s="143">
        <f t="shared" ca="1" si="1198"/>
        <v>0</v>
      </c>
      <c r="BS527" s="32"/>
    </row>
    <row r="528" spans="1:71" s="674" customFormat="1" ht="15">
      <c r="A528" s="485"/>
      <c r="B528" s="509"/>
      <c r="C528" s="1147"/>
      <c r="D528" s="1147"/>
      <c r="E528" s="1147"/>
      <c r="F528" s="1147"/>
      <c r="G528" s="1147"/>
      <c r="H528" s="426"/>
      <c r="I528" s="426"/>
      <c r="J528" s="426"/>
      <c r="K528" s="426"/>
      <c r="L528" s="1147"/>
      <c r="M528" s="426"/>
      <c r="N528" s="426"/>
      <c r="O528" s="426"/>
      <c r="P528" s="426"/>
      <c r="Q528" s="1147"/>
      <c r="R528" s="426"/>
      <c r="S528" s="426"/>
      <c r="T528" s="426"/>
      <c r="U528" s="426"/>
      <c r="V528" s="1147"/>
      <c r="W528" s="426"/>
      <c r="X528" s="426"/>
      <c r="Y528" s="426"/>
      <c r="Z528" s="426"/>
      <c r="AA528" s="1147"/>
      <c r="AB528" s="426"/>
      <c r="AC528" s="426"/>
      <c r="AD528" s="426"/>
      <c r="AE528" s="426"/>
      <c r="AF528" s="1147"/>
      <c r="AG528" s="426"/>
      <c r="AH528" s="426"/>
      <c r="AI528" s="426"/>
      <c r="AJ528" s="426"/>
      <c r="AK528" s="1147"/>
      <c r="AL528" s="426"/>
      <c r="AM528" s="426"/>
      <c r="AN528" s="426"/>
      <c r="AO528" s="426"/>
      <c r="AP528" s="1147"/>
      <c r="AQ528" s="426"/>
      <c r="AR528" s="426"/>
      <c r="AS528" s="426"/>
      <c r="AT528" s="426"/>
      <c r="AU528" s="1147"/>
      <c r="AV528" s="426"/>
      <c r="AW528" s="426"/>
      <c r="AX528" s="426"/>
      <c r="AY528" s="426"/>
      <c r="AZ528" s="1147"/>
      <c r="BA528" s="426"/>
      <c r="BB528" s="426"/>
      <c r="BC528" s="426"/>
      <c r="BD528" s="426"/>
      <c r="BE528" s="1147"/>
      <c r="BF528" s="426"/>
      <c r="BG528" s="426"/>
      <c r="BH528" s="487"/>
      <c r="BI528" s="159"/>
      <c r="BJ528" s="1148"/>
      <c r="BK528" s="159"/>
      <c r="BL528" s="159"/>
      <c r="BM528" s="159"/>
      <c r="BN528" s="159"/>
      <c r="BO528" s="1148"/>
      <c r="BP528" s="1147"/>
      <c r="BQ528" s="1147"/>
      <c r="BR528" s="1148"/>
      <c r="BS528" s="37"/>
    </row>
    <row r="529" spans="1:71" s="674" customFormat="1" ht="15">
      <c r="A529" s="434" t="s">
        <v>315</v>
      </c>
      <c r="B529" s="434"/>
      <c r="C529" s="280"/>
      <c r="D529" s="280"/>
      <c r="E529" s="280"/>
      <c r="F529" s="280"/>
      <c r="G529" s="280"/>
      <c r="H529" s="280"/>
      <c r="I529" s="280"/>
      <c r="J529" s="280"/>
      <c r="K529" s="280"/>
      <c r="L529" s="280"/>
      <c r="M529" s="280"/>
      <c r="N529" s="280"/>
      <c r="O529" s="280"/>
      <c r="P529" s="280"/>
      <c r="Q529" s="280"/>
      <c r="R529" s="280"/>
      <c r="S529" s="280"/>
      <c r="T529" s="280"/>
      <c r="U529" s="280"/>
      <c r="V529" s="280"/>
      <c r="W529" s="280"/>
      <c r="X529" s="280"/>
      <c r="Y529" s="280"/>
      <c r="Z529" s="280"/>
      <c r="AA529" s="280"/>
      <c r="AB529" s="280"/>
      <c r="AC529" s="280"/>
      <c r="AD529" s="280"/>
      <c r="AE529" s="280"/>
      <c r="AF529" s="280"/>
      <c r="AG529" s="280"/>
      <c r="AH529" s="280"/>
      <c r="AI529" s="280"/>
      <c r="AJ529" s="280"/>
      <c r="AK529" s="280"/>
      <c r="AL529" s="663" t="s">
        <v>522</v>
      </c>
      <c r="AM529" s="663" t="s">
        <v>522</v>
      </c>
      <c r="AN529" s="663" t="s">
        <v>522</v>
      </c>
      <c r="AO529" s="663" t="s">
        <v>522</v>
      </c>
      <c r="AP529" s="663" t="s">
        <v>522</v>
      </c>
      <c r="AQ529" s="280"/>
      <c r="AR529" s="280"/>
      <c r="AS529" s="280"/>
      <c r="AT529" s="280"/>
      <c r="AU529" s="280"/>
      <c r="AV529" s="280"/>
      <c r="AW529" s="280"/>
      <c r="AX529" s="280"/>
      <c r="AY529" s="280"/>
      <c r="AZ529" s="280"/>
      <c r="BA529" s="280"/>
      <c r="BB529" s="280"/>
      <c r="BC529" s="280"/>
      <c r="BD529" s="280"/>
      <c r="BE529" s="280"/>
      <c r="BF529" s="280"/>
      <c r="BG529" s="280"/>
      <c r="BH529" s="380"/>
      <c r="BI529" s="434"/>
      <c r="BJ529" s="434"/>
      <c r="BK529" s="434"/>
      <c r="BL529" s="434"/>
      <c r="BM529" s="434"/>
      <c r="BN529" s="434"/>
      <c r="BO529" s="434"/>
      <c r="BP529" s="280"/>
      <c r="BQ529" s="280"/>
      <c r="BR529" s="434"/>
      <c r="BS529" s="37"/>
    </row>
    <row r="530" spans="1:71" s="674" customFormat="1" ht="15">
      <c r="A530" s="101" t="s">
        <v>316</v>
      </c>
      <c r="B530" s="509"/>
      <c r="C530" s="1147"/>
      <c r="D530" s="1147"/>
      <c r="E530" s="1147"/>
      <c r="F530" s="1147"/>
      <c r="G530" s="1147"/>
      <c r="H530" s="426"/>
      <c r="I530" s="426"/>
      <c r="J530" s="426"/>
      <c r="K530" s="426"/>
      <c r="L530" s="1147"/>
      <c r="M530" s="426"/>
      <c r="N530" s="426"/>
      <c r="O530" s="426"/>
      <c r="P530" s="426"/>
      <c r="Q530" s="1147"/>
      <c r="R530" s="426"/>
      <c r="S530" s="426"/>
      <c r="T530" s="426"/>
      <c r="U530" s="426"/>
      <c r="V530" s="1147"/>
      <c r="W530" s="426"/>
      <c r="X530" s="426"/>
      <c r="Y530" s="426"/>
      <c r="Z530" s="426"/>
      <c r="AA530" s="1147"/>
      <c r="AB530" s="426"/>
      <c r="AC530" s="426"/>
      <c r="AD530" s="426"/>
      <c r="AE530" s="426"/>
      <c r="AF530" s="1147"/>
      <c r="AG530" s="426"/>
      <c r="AH530" s="426"/>
      <c r="AI530" s="426"/>
      <c r="AJ530" s="426"/>
      <c r="AK530" s="1147"/>
      <c r="AL530" s="426"/>
      <c r="AM530" s="426"/>
      <c r="AN530" s="426"/>
      <c r="AO530" s="426"/>
      <c r="AP530" s="1147"/>
      <c r="AQ530" s="426"/>
      <c r="AR530" s="426"/>
      <c r="AS530" s="426"/>
      <c r="AT530" s="426"/>
      <c r="AU530" s="1147"/>
      <c r="AV530" s="426"/>
      <c r="AW530" s="426"/>
      <c r="AX530" s="426"/>
      <c r="AY530" s="426"/>
      <c r="AZ530" s="1147"/>
      <c r="BA530" s="426"/>
      <c r="BB530" s="426"/>
      <c r="BC530" s="426"/>
      <c r="BD530" s="426"/>
      <c r="BE530" s="1147"/>
      <c r="BF530" s="426"/>
      <c r="BG530" s="426"/>
      <c r="BH530" s="487"/>
      <c r="BI530" s="159"/>
      <c r="BJ530" s="1148"/>
      <c r="BK530" s="159"/>
      <c r="BL530" s="159"/>
      <c r="BM530" s="159"/>
      <c r="BN530" s="159"/>
      <c r="BO530" s="1148"/>
      <c r="BP530" s="1147"/>
      <c r="BQ530" s="1147"/>
      <c r="BR530" s="1148"/>
      <c r="BS530" s="37"/>
    </row>
    <row r="531" spans="1:71" s="673" customFormat="1" ht="15" hidden="1" outlineLevel="1">
      <c r="A531" s="489" t="s">
        <v>317</v>
      </c>
      <c r="B531" s="480"/>
      <c r="C531" s="1266">
        <v>1120</v>
      </c>
      <c r="D531" s="1132">
        <v>1099</v>
      </c>
      <c r="E531" s="1132">
        <v>1324</v>
      </c>
      <c r="F531" s="1132">
        <v>1705</v>
      </c>
      <c r="G531" s="1132">
        <v>1639</v>
      </c>
      <c r="H531" s="1037">
        <v>1876</v>
      </c>
      <c r="I531" s="1037">
        <v>2116</v>
      </c>
      <c r="J531" s="1037">
        <v>1310</v>
      </c>
      <c r="K531" s="419">
        <f>L531</f>
        <v>1343</v>
      </c>
      <c r="L531" s="1132">
        <v>1343</v>
      </c>
      <c r="M531" s="1037">
        <v>1212</v>
      </c>
      <c r="N531" s="1037">
        <v>1216</v>
      </c>
      <c r="O531" s="1037">
        <v>894</v>
      </c>
      <c r="P531" s="419">
        <f>Q531</f>
        <v>1220</v>
      </c>
      <c r="Q531" s="1132">
        <v>1220</v>
      </c>
      <c r="R531" s="1037">
        <v>1231</v>
      </c>
      <c r="S531" s="1037">
        <v>1548</v>
      </c>
      <c r="T531" s="1037">
        <v>1639</v>
      </c>
      <c r="U531" s="419">
        <f>V531</f>
        <v>2107</v>
      </c>
      <c r="V531" s="1132">
        <v>2107</v>
      </c>
      <c r="W531" s="1037">
        <v>1890</v>
      </c>
      <c r="X531" s="1037">
        <v>2207</v>
      </c>
      <c r="Y531" s="1037">
        <v>2349</v>
      </c>
      <c r="Z531" s="419">
        <f>AA531</f>
        <v>2338</v>
      </c>
      <c r="AA531" s="1132">
        <v>2338</v>
      </c>
      <c r="AB531" s="1037">
        <v>1659</v>
      </c>
      <c r="AC531" s="1037">
        <v>1810</v>
      </c>
      <c r="AD531" s="1037">
        <v>2009</v>
      </c>
      <c r="AE531" s="419">
        <f>AF531</f>
        <v>1515</v>
      </c>
      <c r="AF531" s="1132">
        <v>1515</v>
      </c>
      <c r="AG531" s="1037">
        <v>2000</v>
      </c>
      <c r="AH531" s="1037">
        <v>2374</v>
      </c>
      <c r="AI531" s="1037">
        <v>2693</v>
      </c>
      <c r="AJ531" s="419">
        <f>AK531</f>
        <v>2314</v>
      </c>
      <c r="AK531" s="1132">
        <v>2314</v>
      </c>
      <c r="AL531" s="1037">
        <v>1673</v>
      </c>
      <c r="AM531" s="1037">
        <v>2698</v>
      </c>
      <c r="AN531" s="1037">
        <v>3747</v>
      </c>
      <c r="AO531" s="419">
        <f>AP531</f>
        <v>2810</v>
      </c>
      <c r="AP531" s="1132">
        <v>2810</v>
      </c>
      <c r="AQ531" s="1037">
        <v>1691</v>
      </c>
      <c r="AR531" s="1037">
        <v>3365</v>
      </c>
      <c r="AS531" s="1037">
        <v>2833</v>
      </c>
      <c r="AT531" s="419">
        <f>AU531</f>
        <v>2131</v>
      </c>
      <c r="AU531" s="1132">
        <v>2131</v>
      </c>
      <c r="AV531" s="1037">
        <v>1181</v>
      </c>
      <c r="AW531" s="1037">
        <v>967</v>
      </c>
      <c r="AX531" s="1037">
        <v>794</v>
      </c>
      <c r="AY531" s="419">
        <f>AZ531</f>
        <v>872</v>
      </c>
      <c r="AZ531" s="1132">
        <v>872</v>
      </c>
      <c r="BA531" s="1037">
        <v>857</v>
      </c>
      <c r="BB531" s="1037">
        <v>988</v>
      </c>
      <c r="BC531" s="1037">
        <v>1221</v>
      </c>
      <c r="BD531" s="419">
        <f>BE531</f>
        <v>1225</v>
      </c>
      <c r="BE531" s="1132">
        <v>1225</v>
      </c>
      <c r="BF531" s="1037">
        <v>1087</v>
      </c>
      <c r="BG531" s="1037">
        <v>1121</v>
      </c>
      <c r="BH531" s="1038">
        <v>1322</v>
      </c>
      <c r="BI531" s="171">
        <f ca="1">BI522-BI532</f>
        <v>1551.8889755336409</v>
      </c>
      <c r="BJ531" s="1133">
        <f ca="1">BI531</f>
        <v>1551.8889755336409</v>
      </c>
      <c r="BK531" s="171">
        <f ca="1">BK522-BK532</f>
        <v>1773.4971735928088</v>
      </c>
      <c r="BL531" s="171">
        <f ca="1">BL522-BL532</f>
        <v>2269.2391061216804</v>
      </c>
      <c r="BM531" s="171">
        <f ca="1">BM522-BM532</f>
        <v>2740.4415375712456</v>
      </c>
      <c r="BN531" s="171">
        <f ca="1">BN522-BN532</f>
        <v>3370.9155000964311</v>
      </c>
      <c r="BO531" s="1133">
        <f ca="1">BN531</f>
        <v>3370.9155000964311</v>
      </c>
      <c r="BP531" s="1131">
        <f ca="1">BP522-BP532</f>
        <v>5470.5338515813846</v>
      </c>
      <c r="BQ531" s="1131">
        <f ca="1">BQ522-BQ532</f>
        <v>8370.7066910806097</v>
      </c>
      <c r="BR531" s="1133">
        <f ca="1">BR522-BR532</f>
        <v>11402.573130642277</v>
      </c>
      <c r="BS531" s="32"/>
    </row>
    <row r="532" spans="1:71" s="673" customFormat="1" ht="15" hidden="1" outlineLevel="1">
      <c r="A532" s="489" t="s">
        <v>530</v>
      </c>
      <c r="B532" s="480"/>
      <c r="C532" s="1267"/>
      <c r="D532" s="1131"/>
      <c r="E532" s="1131"/>
      <c r="F532" s="1131"/>
      <c r="G532" s="1131"/>
      <c r="H532" s="419"/>
      <c r="I532" s="419"/>
      <c r="J532" s="419"/>
      <c r="K532" s="419"/>
      <c r="L532" s="1131"/>
      <c r="M532" s="419"/>
      <c r="N532" s="419"/>
      <c r="O532" s="419"/>
      <c r="P532" s="419"/>
      <c r="Q532" s="1131"/>
      <c r="R532" s="419"/>
      <c r="S532" s="419"/>
      <c r="T532" s="419"/>
      <c r="U532" s="419"/>
      <c r="V532" s="1131"/>
      <c r="W532" s="419"/>
      <c r="X532" s="419"/>
      <c r="Y532" s="419"/>
      <c r="Z532" s="419"/>
      <c r="AA532" s="1131"/>
      <c r="AB532" s="419"/>
      <c r="AC532" s="419"/>
      <c r="AD532" s="419"/>
      <c r="AE532" s="419"/>
      <c r="AF532" s="1131"/>
      <c r="AG532" s="419"/>
      <c r="AH532" s="419"/>
      <c r="AI532" s="419"/>
      <c r="AJ532" s="419"/>
      <c r="AK532" s="1131"/>
      <c r="AL532" s="419"/>
      <c r="AM532" s="419"/>
      <c r="AN532" s="419"/>
      <c r="AO532" s="419"/>
      <c r="AP532" s="1131"/>
      <c r="AQ532" s="1037">
        <v>636</v>
      </c>
      <c r="AR532" s="419"/>
      <c r="AS532" s="419"/>
      <c r="AT532" s="419"/>
      <c r="AU532" s="1131"/>
      <c r="AV532" s="419"/>
      <c r="AW532" s="419"/>
      <c r="AX532" s="419"/>
      <c r="AY532" s="419"/>
      <c r="AZ532" s="1131"/>
      <c r="BA532" s="419"/>
      <c r="BB532" s="419"/>
      <c r="BC532" s="419"/>
      <c r="BD532" s="419"/>
      <c r="BE532" s="1131"/>
      <c r="BF532" s="419"/>
      <c r="BG532" s="419"/>
      <c r="BH532" s="464"/>
      <c r="BI532" s="171">
        <f>+BH532</f>
        <v>0</v>
      </c>
      <c r="BJ532" s="1133">
        <f t="shared" si="1199" ref="BJ532">+BI532</f>
        <v>0</v>
      </c>
      <c r="BK532" s="171">
        <f t="shared" si="1200" ref="BK532:BR532">+BJ532</f>
        <v>0</v>
      </c>
      <c r="BL532" s="171">
        <f t="shared" si="1200"/>
        <v>0</v>
      </c>
      <c r="BM532" s="171">
        <f t="shared" si="1200"/>
        <v>0</v>
      </c>
      <c r="BN532" s="171">
        <f t="shared" si="1200"/>
        <v>0</v>
      </c>
      <c r="BO532" s="1133">
        <f t="shared" si="1200"/>
        <v>0</v>
      </c>
      <c r="BP532" s="1131">
        <f t="shared" si="1200"/>
        <v>0</v>
      </c>
      <c r="BQ532" s="1131">
        <f t="shared" si="1200"/>
        <v>0</v>
      </c>
      <c r="BR532" s="1133">
        <f t="shared" si="1200"/>
        <v>0</v>
      </c>
      <c r="BS532" s="32"/>
    </row>
    <row r="533" spans="1:71" s="673" customFormat="1" ht="15" hidden="1" outlineLevel="1">
      <c r="A533" s="489" t="s">
        <v>525</v>
      </c>
      <c r="B533" s="480"/>
      <c r="C533" s="1266">
        <v>16823</v>
      </c>
      <c r="D533" s="1132">
        <v>19328</v>
      </c>
      <c r="E533" s="1132">
        <v>21807</v>
      </c>
      <c r="F533" s="1132">
        <v>24118</v>
      </c>
      <c r="G533" s="1132">
        <v>26456</v>
      </c>
      <c r="H533" s="1037">
        <v>27390</v>
      </c>
      <c r="I533" s="1037">
        <v>28988</v>
      </c>
      <c r="J533" s="1037">
        <v>29965</v>
      </c>
      <c r="K533" s="419">
        <f t="shared" si="1201" ref="K533:K541">L533</f>
        <v>30734</v>
      </c>
      <c r="L533" s="1132">
        <v>30734</v>
      </c>
      <c r="M533" s="1037">
        <v>31968</v>
      </c>
      <c r="N533" s="1037">
        <v>32260</v>
      </c>
      <c r="O533" s="1037">
        <v>33114</v>
      </c>
      <c r="P533" s="419">
        <f t="shared" si="1202" ref="P533:P541">Q533</f>
        <v>32284</v>
      </c>
      <c r="Q533" s="1132">
        <v>32284</v>
      </c>
      <c r="R533" s="1037">
        <v>33921</v>
      </c>
      <c r="S533" s="1037">
        <v>34638</v>
      </c>
      <c r="T533" s="1037">
        <v>35394</v>
      </c>
      <c r="U533" s="419">
        <f t="shared" si="1203" ref="U533:U541">V533</f>
        <v>34544</v>
      </c>
      <c r="V533" s="1132">
        <v>34544</v>
      </c>
      <c r="W533" s="1037">
        <v>36456</v>
      </c>
      <c r="X533" s="1037">
        <v>37504</v>
      </c>
      <c r="Y533" s="1037">
        <v>37818</v>
      </c>
      <c r="Z533" s="419">
        <f t="shared" si="1204" ref="Z533:Z541">AA533</f>
        <v>38379</v>
      </c>
      <c r="AA533" s="1132">
        <v>38379</v>
      </c>
      <c r="AB533" s="1037">
        <v>39125</v>
      </c>
      <c r="AC533" s="1037">
        <v>39648</v>
      </c>
      <c r="AD533" s="1037">
        <v>40244</v>
      </c>
      <c r="AE533" s="419">
        <f t="shared" si="1205" ref="AE533:AE541">AF533</f>
        <v>41997</v>
      </c>
      <c r="AF533" s="1132">
        <v>41997</v>
      </c>
      <c r="AG533" s="1037">
        <v>43431</v>
      </c>
      <c r="AH533" s="1037">
        <v>44710</v>
      </c>
      <c r="AI533" s="1037">
        <v>45503</v>
      </c>
      <c r="AJ533" s="419">
        <f t="shared" si="1206" ref="AJ533:AJ541">AK533</f>
        <v>46505</v>
      </c>
      <c r="AK533" s="1132">
        <v>46505</v>
      </c>
      <c r="AL533" s="1037">
        <v>46134</v>
      </c>
      <c r="AM533" s="1037">
        <v>48046</v>
      </c>
      <c r="AN533" s="1037">
        <v>48193</v>
      </c>
      <c r="AO533" s="419">
        <f t="shared" si="1207" ref="AO533:AO541">AP533</f>
        <v>43207</v>
      </c>
      <c r="AP533" s="1132">
        <v>43207</v>
      </c>
      <c r="AQ533" s="1037">
        <v>9289</v>
      </c>
      <c r="AR533" s="1037">
        <v>9732</v>
      </c>
      <c r="AS533" s="1037">
        <v>10427</v>
      </c>
      <c r="AT533" s="419">
        <f t="shared" si="1208" ref="AT533:AT541">AU533</f>
        <v>10357</v>
      </c>
      <c r="AU533" s="1132">
        <v>10357</v>
      </c>
      <c r="AV533" s="1037">
        <v>10809</v>
      </c>
      <c r="AW533" s="1037">
        <v>9793</v>
      </c>
      <c r="AX533" s="1037">
        <v>10034</v>
      </c>
      <c r="AY533" s="419">
        <f t="shared" si="1209" ref="AY533:AY541">AZ533</f>
        <v>10095</v>
      </c>
      <c r="AZ533" s="1132">
        <v>10095</v>
      </c>
      <c r="BA533" s="1037">
        <v>10044</v>
      </c>
      <c r="BB533" s="1037">
        <v>9885</v>
      </c>
      <c r="BC533" s="1037">
        <v>9931</v>
      </c>
      <c r="BD533" s="419">
        <f t="shared" si="1210" ref="BD533:BD541">BE533</f>
        <v>10377</v>
      </c>
      <c r="BE533" s="1132">
        <v>10377</v>
      </c>
      <c r="BF533" s="1037">
        <v>10371</v>
      </c>
      <c r="BG533" s="1037">
        <v>10196</v>
      </c>
      <c r="BH533" s="1038">
        <v>10435</v>
      </c>
      <c r="BI533" s="171">
        <f>BH533-BI479-BI487</f>
        <v>10557.380000000001</v>
      </c>
      <c r="BJ533" s="1133">
        <f t="shared" si="1211" ref="BJ533:BJ541">BI533</f>
        <v>10557.380000000001</v>
      </c>
      <c r="BK533" s="171">
        <f>BJ533-BK479-BK487</f>
        <v>10878.044863387981</v>
      </c>
      <c r="BL533" s="171">
        <f>BK533-BL479-BL487</f>
        <v>10788.589863387981</v>
      </c>
      <c r="BM533" s="171">
        <f>BL533-BM479-BM487</f>
        <v>10831.419863387979</v>
      </c>
      <c r="BN533" s="171">
        <f>BM533-BN479-BN487</f>
        <v>10959.337863387982</v>
      </c>
      <c r="BO533" s="1133">
        <f t="shared" si="1212" ref="BO533:BO541">BN533</f>
        <v>10959.337863387982</v>
      </c>
      <c r="BP533" s="1131">
        <f>BO533-BP479-BP487</f>
        <v>11276.593336730928</v>
      </c>
      <c r="BQ533" s="1131">
        <f>BP533-BQ479-BQ487</f>
        <v>11603.688901224457</v>
      </c>
      <c r="BR533" s="1133">
        <f>BQ533-BR479-BR487</f>
        <v>11940.901986766117</v>
      </c>
      <c r="BS533" s="32"/>
    </row>
    <row r="534" spans="1:71" s="673" customFormat="1" ht="15" hidden="1" outlineLevel="1">
      <c r="A534" s="489" t="s">
        <v>318</v>
      </c>
      <c r="B534" s="480"/>
      <c r="C534" s="1266">
        <v>372</v>
      </c>
      <c r="D534" s="1132">
        <v>393</v>
      </c>
      <c r="E534" s="1132">
        <v>440</v>
      </c>
      <c r="F534" s="1132">
        <v>321</v>
      </c>
      <c r="G534" s="1132">
        <v>305</v>
      </c>
      <c r="H534" s="1037">
        <v>297</v>
      </c>
      <c r="I534" s="1037">
        <v>343</v>
      </c>
      <c r="J534" s="1037">
        <v>342</v>
      </c>
      <c r="K534" s="419">
        <f t="shared" si="1201"/>
        <v>266</v>
      </c>
      <c r="L534" s="1132">
        <v>266</v>
      </c>
      <c r="M534" s="1037">
        <v>273</v>
      </c>
      <c r="N534" s="1037">
        <v>279</v>
      </c>
      <c r="O534" s="1037">
        <v>269</v>
      </c>
      <c r="P534" s="419">
        <f t="shared" si="1202"/>
        <v>254</v>
      </c>
      <c r="Q534" s="1132">
        <v>254</v>
      </c>
      <c r="R534" s="1037">
        <v>249</v>
      </c>
      <c r="S534" s="1037">
        <v>271</v>
      </c>
      <c r="T534" s="1037">
        <v>348</v>
      </c>
      <c r="U534" s="419">
        <f t="shared" si="1203"/>
        <v>359</v>
      </c>
      <c r="V534" s="1132">
        <v>359</v>
      </c>
      <c r="W534" s="1037">
        <v>359</v>
      </c>
      <c r="X534" s="1037">
        <v>339</v>
      </c>
      <c r="Y534" s="1037">
        <v>350</v>
      </c>
      <c r="Z534" s="419">
        <f t="shared" si="1204"/>
        <v>348</v>
      </c>
      <c r="AA534" s="1132">
        <v>348</v>
      </c>
      <c r="AB534" s="1037">
        <v>160</v>
      </c>
      <c r="AC534" s="1037">
        <v>137</v>
      </c>
      <c r="AD534" s="1037">
        <v>103</v>
      </c>
      <c r="AE534" s="419">
        <f t="shared" si="1205"/>
        <v>105</v>
      </c>
      <c r="AF534" s="1132">
        <v>105</v>
      </c>
      <c r="AG534" s="1037">
        <v>107</v>
      </c>
      <c r="AH534" s="1037">
        <v>106</v>
      </c>
      <c r="AI534" s="1037">
        <v>108</v>
      </c>
      <c r="AJ534" s="419">
        <f t="shared" si="1206"/>
        <v>113</v>
      </c>
      <c r="AK534" s="1132">
        <v>113</v>
      </c>
      <c r="AL534" s="1037">
        <v>96</v>
      </c>
      <c r="AM534" s="1037">
        <v>97</v>
      </c>
      <c r="AN534" s="1037">
        <v>92</v>
      </c>
      <c r="AO534" s="419">
        <f t="shared" si="1207"/>
        <v>66</v>
      </c>
      <c r="AP534" s="1132">
        <v>66</v>
      </c>
      <c r="AQ534" s="1037">
        <v>26</v>
      </c>
      <c r="AR534" s="1037">
        <v>26</v>
      </c>
      <c r="AS534" s="1037">
        <v>29</v>
      </c>
      <c r="AT534" s="419">
        <f t="shared" si="1208"/>
        <v>28</v>
      </c>
      <c r="AU534" s="1132">
        <v>28</v>
      </c>
      <c r="AV534" s="1037">
        <v>30</v>
      </c>
      <c r="AW534" s="1037">
        <v>29</v>
      </c>
      <c r="AX534" s="1037">
        <v>30</v>
      </c>
      <c r="AY534" s="419">
        <f t="shared" si="1209"/>
        <v>32</v>
      </c>
      <c r="AZ534" s="1132">
        <v>32</v>
      </c>
      <c r="BA534" s="1037">
        <v>36</v>
      </c>
      <c r="BB534" s="1037">
        <v>38</v>
      </c>
      <c r="BC534" s="1037">
        <v>51</v>
      </c>
      <c r="BD534" s="419">
        <f t="shared" si="1210"/>
        <v>57</v>
      </c>
      <c r="BE534" s="1132">
        <v>57</v>
      </c>
      <c r="BF534" s="1037">
        <v>57</v>
      </c>
      <c r="BG534" s="1037">
        <v>65</v>
      </c>
      <c r="BH534" s="1038">
        <v>78</v>
      </c>
      <c r="BI534" s="171">
        <f>BH534</f>
        <v>78</v>
      </c>
      <c r="BJ534" s="1133">
        <f t="shared" si="1211"/>
        <v>78</v>
      </c>
      <c r="BK534" s="171">
        <f>BJ534</f>
        <v>78</v>
      </c>
      <c r="BL534" s="171">
        <f>BK534</f>
        <v>78</v>
      </c>
      <c r="BM534" s="171">
        <f>BL534</f>
        <v>78</v>
      </c>
      <c r="BN534" s="171">
        <f>BM534</f>
        <v>78</v>
      </c>
      <c r="BO534" s="1133">
        <f t="shared" si="1212"/>
        <v>78</v>
      </c>
      <c r="BP534" s="1131">
        <f>BO534</f>
        <v>78</v>
      </c>
      <c r="BQ534" s="1131">
        <f>BP534</f>
        <v>78</v>
      </c>
      <c r="BR534" s="1133">
        <f>BQ534</f>
        <v>78</v>
      </c>
      <c r="BS534" s="32"/>
    </row>
    <row r="535" spans="1:71" s="673" customFormat="1" ht="15" hidden="1" outlineLevel="1">
      <c r="A535" s="489" t="s">
        <v>526</v>
      </c>
      <c r="B535" s="480"/>
      <c r="C535" s="1266">
        <v>411</v>
      </c>
      <c r="D535" s="1132">
        <v>690</v>
      </c>
      <c r="E535" s="1132">
        <v>928</v>
      </c>
      <c r="F535" s="1132">
        <v>939</v>
      </c>
      <c r="G535" s="1132">
        <v>1123</v>
      </c>
      <c r="H535" s="1037">
        <v>1297</v>
      </c>
      <c r="I535" s="1037">
        <v>1473</v>
      </c>
      <c r="J535" s="1037">
        <v>1474</v>
      </c>
      <c r="K535" s="419">
        <f t="shared" si="1201"/>
        <v>1501</v>
      </c>
      <c r="L535" s="1132">
        <v>1501</v>
      </c>
      <c r="M535" s="1037">
        <v>1530</v>
      </c>
      <c r="N535" s="1037">
        <v>1535</v>
      </c>
      <c r="O535" s="1037">
        <v>1658</v>
      </c>
      <c r="P535" s="419">
        <f t="shared" si="1202"/>
        <v>1553</v>
      </c>
      <c r="Q535" s="1132">
        <v>1553</v>
      </c>
      <c r="R535" s="1037">
        <v>1536</v>
      </c>
      <c r="S535" s="1037">
        <v>1472</v>
      </c>
      <c r="T535" s="1037">
        <v>1553</v>
      </c>
      <c r="U535" s="419">
        <f t="shared" si="1203"/>
        <v>1502</v>
      </c>
      <c r="V535" s="1132">
        <v>1502</v>
      </c>
      <c r="W535" s="1037">
        <v>1579</v>
      </c>
      <c r="X535" s="1037">
        <v>1581</v>
      </c>
      <c r="Y535" s="1037">
        <v>1579</v>
      </c>
      <c r="Z535" s="419">
        <f t="shared" si="1204"/>
        <v>1600</v>
      </c>
      <c r="AA535" s="1132">
        <v>1600</v>
      </c>
      <c r="AB535" s="1037">
        <v>1786</v>
      </c>
      <c r="AC535" s="1037">
        <v>1777</v>
      </c>
      <c r="AD535" s="1037">
        <v>1827</v>
      </c>
      <c r="AE535" s="419">
        <f t="shared" si="1205"/>
        <v>1814</v>
      </c>
      <c r="AF535" s="1132">
        <v>1814</v>
      </c>
      <c r="AG535" s="1037">
        <v>1930</v>
      </c>
      <c r="AH535" s="1037">
        <v>1985</v>
      </c>
      <c r="AI535" s="1037">
        <v>2004</v>
      </c>
      <c r="AJ535" s="419">
        <f t="shared" si="1206"/>
        <v>1937</v>
      </c>
      <c r="AK535" s="1132">
        <v>1937</v>
      </c>
      <c r="AL535" s="1037">
        <v>1559</v>
      </c>
      <c r="AM535" s="1037">
        <v>1602</v>
      </c>
      <c r="AN535" s="1037">
        <v>1606</v>
      </c>
      <c r="AO535" s="419">
        <f t="shared" si="1207"/>
        <v>1663</v>
      </c>
      <c r="AP535" s="1132">
        <v>1663</v>
      </c>
      <c r="AQ535" s="1037">
        <v>944</v>
      </c>
      <c r="AR535" s="1037">
        <v>965</v>
      </c>
      <c r="AS535" s="1037">
        <v>993</v>
      </c>
      <c r="AT535" s="419">
        <f t="shared" si="1208"/>
        <v>1042</v>
      </c>
      <c r="AU535" s="1132">
        <v>1042</v>
      </c>
      <c r="AV535" s="1037">
        <v>1022</v>
      </c>
      <c r="AW535" s="1037">
        <f>569+460</f>
        <v>1029</v>
      </c>
      <c r="AX535" s="1037">
        <f>530+466</f>
        <v>996</v>
      </c>
      <c r="AY535" s="419">
        <f t="shared" si="1209"/>
        <v>1010</v>
      </c>
      <c r="AZ535" s="1132">
        <f>553+457</f>
        <v>1010</v>
      </c>
      <c r="BA535" s="1037">
        <f>579+429</f>
        <v>1008</v>
      </c>
      <c r="BB535" s="1037">
        <v>1048</v>
      </c>
      <c r="BC535" s="1037">
        <v>1007</v>
      </c>
      <c r="BD535" s="419">
        <f t="shared" si="1210"/>
        <v>1018</v>
      </c>
      <c r="BE535" s="1132">
        <f>586+432</f>
        <v>1018</v>
      </c>
      <c r="BF535" s="1037">
        <f>629+411</f>
        <v>1040</v>
      </c>
      <c r="BG535" s="1037">
        <f>655+422</f>
        <v>1077</v>
      </c>
      <c r="BH535" s="1038">
        <v>1081</v>
      </c>
      <c r="BI535" s="171">
        <f>BH535-BI480-BI488</f>
        <v>994.25</v>
      </c>
      <c r="BJ535" s="1133">
        <f t="shared" si="1211"/>
        <v>994.25</v>
      </c>
      <c r="BK535" s="171">
        <f>BJ535-BK480-BK488</f>
        <v>963.00469945355178</v>
      </c>
      <c r="BL535" s="171">
        <f>BK535-BL480-BL488</f>
        <v>991.91469945355175</v>
      </c>
      <c r="BM535" s="171">
        <f>BL535-BM480-BM488</f>
        <v>1012.0046994535519</v>
      </c>
      <c r="BN535" s="171">
        <f>BM535-BN480-BN488</f>
        <v>926.98969945355179</v>
      </c>
      <c r="BO535" s="1133">
        <f t="shared" si="1212"/>
        <v>926.98969945355179</v>
      </c>
      <c r="BP535" s="1131">
        <f>BO535-BP480-BP488</f>
        <v>906.61168685081202</v>
      </c>
      <c r="BQ535" s="1131">
        <f>BP535-BQ480-BQ488</f>
        <v>886.6412345001271</v>
      </c>
      <c r="BR535" s="1133">
        <f>BQ535-BR480-BR488</f>
        <v>867.07019119645588</v>
      </c>
      <c r="BS535" s="32"/>
    </row>
    <row r="536" spans="1:71" s="673" customFormat="1" ht="15" hidden="1" outlineLevel="1">
      <c r="A536" s="489" t="s">
        <v>319</v>
      </c>
      <c r="B536" s="480"/>
      <c r="C536" s="1267"/>
      <c r="D536" s="1131"/>
      <c r="E536" s="1131"/>
      <c r="F536" s="1131"/>
      <c r="G536" s="1131"/>
      <c r="H536" s="419"/>
      <c r="I536" s="419"/>
      <c r="J536" s="419"/>
      <c r="K536" s="419">
        <f t="shared" si="1201"/>
        <v>0</v>
      </c>
      <c r="L536" s="1131"/>
      <c r="M536" s="419"/>
      <c r="N536" s="419"/>
      <c r="O536" s="419"/>
      <c r="P536" s="419">
        <f t="shared" si="1202"/>
        <v>0</v>
      </c>
      <c r="Q536" s="1131"/>
      <c r="R536" s="419"/>
      <c r="S536" s="419"/>
      <c r="T536" s="419"/>
      <c r="U536" s="419">
        <f t="shared" si="1203"/>
        <v>0</v>
      </c>
      <c r="V536" s="1131"/>
      <c r="W536" s="419"/>
      <c r="X536" s="419"/>
      <c r="Y536" s="419"/>
      <c r="Z536" s="419">
        <f t="shared" si="1204"/>
        <v>0</v>
      </c>
      <c r="AA536" s="1131"/>
      <c r="AB536" s="1037">
        <v>1097</v>
      </c>
      <c r="AC536" s="1037">
        <v>1194</v>
      </c>
      <c r="AD536" s="1037">
        <v>1289</v>
      </c>
      <c r="AE536" s="419">
        <f t="shared" si="1205"/>
        <v>1374</v>
      </c>
      <c r="AF536" s="1132">
        <v>1374</v>
      </c>
      <c r="AG536" s="1037">
        <v>1440</v>
      </c>
      <c r="AH536" s="1037">
        <v>1506</v>
      </c>
      <c r="AI536" s="1037">
        <v>1535</v>
      </c>
      <c r="AJ536" s="419">
        <f t="shared" si="1206"/>
        <v>1688</v>
      </c>
      <c r="AK536" s="1132">
        <v>1688</v>
      </c>
      <c r="AL536" s="1037">
        <v>1763</v>
      </c>
      <c r="AM536" s="1037">
        <v>1781</v>
      </c>
      <c r="AN536" s="1037">
        <v>1841</v>
      </c>
      <c r="AO536" s="419">
        <f t="shared" si="1207"/>
        <v>1881</v>
      </c>
      <c r="AP536" s="1132">
        <v>1881</v>
      </c>
      <c r="AQ536" s="1037">
        <v>1324</v>
      </c>
      <c r="AR536" s="1037">
        <v>1378</v>
      </c>
      <c r="AS536" s="1037">
        <v>1407</v>
      </c>
      <c r="AT536" s="419">
        <f t="shared" si="1208"/>
        <v>1517</v>
      </c>
      <c r="AU536" s="1132">
        <v>1517</v>
      </c>
      <c r="AV536" s="1037">
        <v>1619</v>
      </c>
      <c r="AW536" s="1037">
        <v>1626</v>
      </c>
      <c r="AX536" s="1037">
        <v>1661</v>
      </c>
      <c r="AY536" s="419">
        <f t="shared" si="1209"/>
        <v>1700</v>
      </c>
      <c r="AZ536" s="1132">
        <v>1700</v>
      </c>
      <c r="BA536" s="1037">
        <v>1733</v>
      </c>
      <c r="BB536" s="1037">
        <v>1756</v>
      </c>
      <c r="BC536" s="1037">
        <v>1807</v>
      </c>
      <c r="BD536" s="419">
        <f t="shared" si="1210"/>
        <v>1814</v>
      </c>
      <c r="BE536" s="1132">
        <v>1814</v>
      </c>
      <c r="BF536" s="1037">
        <v>1848</v>
      </c>
      <c r="BG536" s="1037">
        <v>1882</v>
      </c>
      <c r="BH536" s="1038">
        <v>1911</v>
      </c>
      <c r="BI536" s="171">
        <f>BH536-BI496</f>
        <v>1969.84</v>
      </c>
      <c r="BJ536" s="1133">
        <f t="shared" si="1211"/>
        <v>1969.84</v>
      </c>
      <c r="BK536" s="171">
        <f>BJ536-BK496</f>
        <v>2060.1471038251366</v>
      </c>
      <c r="BL536" s="171">
        <f>BK536-BL496</f>
        <v>2096.8671038251368</v>
      </c>
      <c r="BM536" s="171">
        <f>BL536-BM496</f>
        <v>2130.8871038251373</v>
      </c>
      <c r="BN536" s="171">
        <f>BM536-BN496</f>
        <v>2194.4343038251372</v>
      </c>
      <c r="BO536" s="1133">
        <f t="shared" si="1212"/>
        <v>2194.4343038251372</v>
      </c>
      <c r="BP536" s="1131">
        <f>BO536-BP496</f>
        <v>2357.4993388717126</v>
      </c>
      <c r="BQ536" s="1131">
        <f>BP536-BQ496</f>
        <v>2533.609576722014</v>
      </c>
      <c r="BR536" s="1133">
        <f>BQ536-BR496</f>
        <v>2723.8086336003398</v>
      </c>
      <c r="BS536" s="32"/>
    </row>
    <row r="537" spans="1:71" s="673" customFormat="1" ht="15" hidden="1" outlineLevel="1">
      <c r="A537" s="489" t="s">
        <v>320</v>
      </c>
      <c r="B537" s="480"/>
      <c r="C537" s="1267"/>
      <c r="D537" s="1131"/>
      <c r="E537" s="1131"/>
      <c r="F537" s="1131"/>
      <c r="G537" s="1132">
        <v>56</v>
      </c>
      <c r="H537" s="419"/>
      <c r="I537" s="419"/>
      <c r="J537" s="419"/>
      <c r="K537" s="419">
        <f t="shared" si="1201"/>
        <v>195</v>
      </c>
      <c r="L537" s="1132">
        <v>195</v>
      </c>
      <c r="M537" s="1037">
        <v>180</v>
      </c>
      <c r="N537" s="1037">
        <v>169</v>
      </c>
      <c r="O537" s="1037">
        <v>173</v>
      </c>
      <c r="P537" s="419">
        <f t="shared" si="1202"/>
        <v>166</v>
      </c>
      <c r="Q537" s="1132">
        <v>166</v>
      </c>
      <c r="R537" s="1037">
        <v>112</v>
      </c>
      <c r="S537" s="1037">
        <v>86</v>
      </c>
      <c r="T537" s="1037">
        <v>86</v>
      </c>
      <c r="U537" s="419">
        <f t="shared" si="1203"/>
        <v>56</v>
      </c>
      <c r="V537" s="1132">
        <v>56</v>
      </c>
      <c r="W537" s="1037">
        <v>58</v>
      </c>
      <c r="X537" s="1037">
        <v>59</v>
      </c>
      <c r="Y537" s="1037">
        <v>60</v>
      </c>
      <c r="Z537" s="419">
        <f t="shared" si="1204"/>
        <v>62</v>
      </c>
      <c r="AA537" s="1132">
        <v>62</v>
      </c>
      <c r="AB537" s="419"/>
      <c r="AC537" s="419"/>
      <c r="AD537" s="419"/>
      <c r="AE537" s="419">
        <f t="shared" si="1205"/>
        <v>0</v>
      </c>
      <c r="AF537" s="1131"/>
      <c r="AG537" s="419"/>
      <c r="AH537" s="419"/>
      <c r="AI537" s="419"/>
      <c r="AJ537" s="419">
        <f t="shared" si="1206"/>
        <v>0</v>
      </c>
      <c r="AK537" s="1131"/>
      <c r="AL537" s="419"/>
      <c r="AM537" s="419"/>
      <c r="AN537" s="419"/>
      <c r="AO537" s="419">
        <f t="shared" si="1207"/>
        <v>0</v>
      </c>
      <c r="AP537" s="1131"/>
      <c r="AQ537" s="419"/>
      <c r="AR537" s="419"/>
      <c r="AS537" s="419"/>
      <c r="AT537" s="419">
        <f t="shared" si="1208"/>
        <v>0</v>
      </c>
      <c r="AU537" s="1131"/>
      <c r="AV537" s="419"/>
      <c r="AW537" s="419"/>
      <c r="AX537" s="419"/>
      <c r="AY537" s="419">
        <f t="shared" si="1209"/>
        <v>0</v>
      </c>
      <c r="AZ537" s="1131"/>
      <c r="BA537" s="419"/>
      <c r="BB537" s="419"/>
      <c r="BC537" s="419"/>
      <c r="BD537" s="419">
        <f t="shared" si="1210"/>
        <v>0</v>
      </c>
      <c r="BE537" s="1131"/>
      <c r="BF537" s="419"/>
      <c r="BG537" s="419"/>
      <c r="BH537" s="464"/>
      <c r="BI537" s="171">
        <f>BH537</f>
        <v>0</v>
      </c>
      <c r="BJ537" s="1133">
        <f t="shared" si="1211"/>
        <v>0</v>
      </c>
      <c r="BK537" s="171">
        <f>BJ537</f>
        <v>0</v>
      </c>
      <c r="BL537" s="171">
        <f>BK537</f>
        <v>0</v>
      </c>
      <c r="BM537" s="171">
        <f>BL537</f>
        <v>0</v>
      </c>
      <c r="BN537" s="171">
        <f>BM537</f>
        <v>0</v>
      </c>
      <c r="BO537" s="1133">
        <f t="shared" si="1212"/>
        <v>0</v>
      </c>
      <c r="BP537" s="1131">
        <f>BO537</f>
        <v>0</v>
      </c>
      <c r="BQ537" s="1131">
        <f>BP537</f>
        <v>0</v>
      </c>
      <c r="BR537" s="1133">
        <f>BQ537</f>
        <v>0</v>
      </c>
      <c r="BS537" s="32"/>
    </row>
    <row r="538" spans="1:71" s="673" customFormat="1" ht="15" hidden="1" outlineLevel="1">
      <c r="A538" s="489" t="s">
        <v>321</v>
      </c>
      <c r="B538" s="480"/>
      <c r="C538" s="1266">
        <v>376</v>
      </c>
      <c r="D538" s="1132">
        <v>468</v>
      </c>
      <c r="E538" s="1132">
        <v>401</v>
      </c>
      <c r="F538" s="1132">
        <v>607</v>
      </c>
      <c r="G538" s="1132">
        <v>781</v>
      </c>
      <c r="H538" s="1037">
        <v>888</v>
      </c>
      <c r="I538" s="1037">
        <v>920</v>
      </c>
      <c r="J538" s="1037">
        <v>1064</v>
      </c>
      <c r="K538" s="419">
        <f t="shared" si="1201"/>
        <v>1117</v>
      </c>
      <c r="L538" s="1132">
        <v>1117</v>
      </c>
      <c r="M538" s="1037">
        <v>1091</v>
      </c>
      <c r="N538" s="1037">
        <v>1054</v>
      </c>
      <c r="O538" s="1037">
        <v>994</v>
      </c>
      <c r="P538" s="419">
        <f t="shared" si="1202"/>
        <v>1067</v>
      </c>
      <c r="Q538" s="1132">
        <v>1067</v>
      </c>
      <c r="R538" s="1037">
        <v>1097</v>
      </c>
      <c r="S538" s="1037">
        <v>1159</v>
      </c>
      <c r="T538" s="1037">
        <v>1180</v>
      </c>
      <c r="U538" s="419">
        <f t="shared" si="1203"/>
        <v>1147</v>
      </c>
      <c r="V538" s="1132">
        <v>1147</v>
      </c>
      <c r="W538" s="1037">
        <v>1159</v>
      </c>
      <c r="X538" s="1037">
        <v>1184</v>
      </c>
      <c r="Y538" s="1037">
        <v>1043</v>
      </c>
      <c r="Z538" s="419">
        <f t="shared" si="1204"/>
        <v>1125</v>
      </c>
      <c r="AA538" s="1132">
        <v>1125</v>
      </c>
      <c r="AB538" s="1037">
        <v>1082</v>
      </c>
      <c r="AC538" s="1037">
        <v>1147</v>
      </c>
      <c r="AD538" s="1037">
        <v>1152</v>
      </c>
      <c r="AE538" s="419">
        <f t="shared" si="1205"/>
        <v>1068</v>
      </c>
      <c r="AF538" s="1132">
        <v>1068</v>
      </c>
      <c r="AG538" s="1037">
        <v>1078</v>
      </c>
      <c r="AH538" s="1037">
        <v>1073</v>
      </c>
      <c r="AI538" s="1037">
        <v>1174</v>
      </c>
      <c r="AJ538" s="419">
        <f t="shared" si="1206"/>
        <v>1329</v>
      </c>
      <c r="AK538" s="1132">
        <v>1329</v>
      </c>
      <c r="AL538" s="1037">
        <v>1346</v>
      </c>
      <c r="AM538" s="1037">
        <v>1475</v>
      </c>
      <c r="AN538" s="1037">
        <v>1482</v>
      </c>
      <c r="AO538" s="419">
        <f t="shared" si="1207"/>
        <v>1623</v>
      </c>
      <c r="AP538" s="1132">
        <v>1623</v>
      </c>
      <c r="AQ538" s="1037">
        <v>408</v>
      </c>
      <c r="AR538" s="1037">
        <v>461</v>
      </c>
      <c r="AS538" s="1037">
        <v>537</v>
      </c>
      <c r="AT538" s="419">
        <f t="shared" si="1208"/>
        <v>520</v>
      </c>
      <c r="AU538" s="1132">
        <v>520</v>
      </c>
      <c r="AV538" s="1037">
        <v>784</v>
      </c>
      <c r="AW538" s="1037">
        <v>692</v>
      </c>
      <c r="AX538" s="1037">
        <v>676</v>
      </c>
      <c r="AY538" s="419">
        <f t="shared" si="1209"/>
        <v>676</v>
      </c>
      <c r="AZ538" s="1132">
        <v>676</v>
      </c>
      <c r="BA538" s="1037">
        <v>646</v>
      </c>
      <c r="BB538" s="1037">
        <v>645</v>
      </c>
      <c r="BC538" s="1037">
        <v>644</v>
      </c>
      <c r="BD538" s="419">
        <f t="shared" si="1210"/>
        <v>643</v>
      </c>
      <c r="BE538" s="1132">
        <v>643</v>
      </c>
      <c r="BF538" s="1037">
        <v>722</v>
      </c>
      <c r="BG538" s="1037">
        <v>773</v>
      </c>
      <c r="BH538" s="1038">
        <v>765</v>
      </c>
      <c r="BI538" s="171">
        <f>BH538-BI481-BI486</f>
        <v>607.32499999999993</v>
      </c>
      <c r="BJ538" s="1133">
        <f t="shared" si="1211"/>
        <v>607.32499999999993</v>
      </c>
      <c r="BK538" s="171">
        <f>BJ538-BK481-BK486</f>
        <v>553.18661202185785</v>
      </c>
      <c r="BL538" s="171">
        <f>BK538-BL481-BL486</f>
        <v>614.93661202185785</v>
      </c>
      <c r="BM538" s="171">
        <f>BL538-BM481-BM486</f>
        <v>635.36161202185781</v>
      </c>
      <c r="BN538" s="171">
        <f>BM538-BN481-BN486</f>
        <v>485.57036202185782</v>
      </c>
      <c r="BO538" s="1133">
        <f t="shared" si="1212"/>
        <v>485.57036202185782</v>
      </c>
      <c r="BP538" s="1131">
        <f>BO538-BP481-BP486</f>
        <v>452.1983716108989</v>
      </c>
      <c r="BQ538" s="1131">
        <f>BP538-BQ481-BQ486</f>
        <v>420.49498072048789</v>
      </c>
      <c r="BR538" s="1133">
        <f>BQ538-BR481-BR486</f>
        <v>390.37675937459744</v>
      </c>
      <c r="BS538" s="32"/>
    </row>
    <row r="539" spans="1:71" s="673" customFormat="1" ht="15" hidden="1" outlineLevel="1">
      <c r="A539" s="489" t="s">
        <v>322</v>
      </c>
      <c r="B539" s="480"/>
      <c r="C539" s="1266">
        <v>276</v>
      </c>
      <c r="D539" s="1132">
        <v>264</v>
      </c>
      <c r="E539" s="1132">
        <v>252</v>
      </c>
      <c r="F539" s="1132">
        <v>228</v>
      </c>
      <c r="G539" s="1132">
        <v>238</v>
      </c>
      <c r="H539" s="1037">
        <v>235</v>
      </c>
      <c r="I539" s="1037">
        <v>233</v>
      </c>
      <c r="J539" s="1037">
        <v>230</v>
      </c>
      <c r="K539" s="419">
        <f t="shared" si="1201"/>
        <v>228</v>
      </c>
      <c r="L539" s="1132">
        <v>228</v>
      </c>
      <c r="M539" s="1037">
        <v>226</v>
      </c>
      <c r="N539" s="1037">
        <v>223</v>
      </c>
      <c r="O539" s="1037">
        <v>221</v>
      </c>
      <c r="P539" s="419">
        <f t="shared" si="1202"/>
        <v>201</v>
      </c>
      <c r="Q539" s="1132">
        <v>201</v>
      </c>
      <c r="R539" s="1037">
        <v>198</v>
      </c>
      <c r="S539" s="1037">
        <v>195</v>
      </c>
      <c r="T539" s="1037">
        <v>194</v>
      </c>
      <c r="U539" s="419">
        <f t="shared" si="1203"/>
        <v>192</v>
      </c>
      <c r="V539" s="1132">
        <v>192</v>
      </c>
      <c r="W539" s="1037">
        <v>190</v>
      </c>
      <c r="X539" s="1037">
        <v>188</v>
      </c>
      <c r="Y539" s="1037">
        <v>186</v>
      </c>
      <c r="Z539" s="419">
        <f t="shared" si="1204"/>
        <v>184</v>
      </c>
      <c r="AA539" s="1132">
        <v>184</v>
      </c>
      <c r="AB539" s="1037">
        <v>181</v>
      </c>
      <c r="AC539" s="1037">
        <v>179</v>
      </c>
      <c r="AD539" s="1037">
        <v>176</v>
      </c>
      <c r="AE539" s="419">
        <f t="shared" si="1205"/>
        <v>174</v>
      </c>
      <c r="AF539" s="1132">
        <v>174</v>
      </c>
      <c r="AG539" s="1037">
        <v>172</v>
      </c>
      <c r="AH539" s="1037">
        <v>170</v>
      </c>
      <c r="AI539" s="1037">
        <v>166</v>
      </c>
      <c r="AJ539" s="419">
        <f t="shared" si="1206"/>
        <v>164</v>
      </c>
      <c r="AK539" s="1132">
        <v>164</v>
      </c>
      <c r="AL539" s="1037">
        <v>161</v>
      </c>
      <c r="AM539" s="1037">
        <v>158</v>
      </c>
      <c r="AN539" s="1037">
        <v>154</v>
      </c>
      <c r="AO539" s="419">
        <f t="shared" si="1207"/>
        <v>151</v>
      </c>
      <c r="AP539" s="1132">
        <v>151</v>
      </c>
      <c r="AQ539" s="419"/>
      <c r="AR539" s="419"/>
      <c r="AS539" s="419"/>
      <c r="AT539" s="419">
        <f t="shared" si="1208"/>
        <v>0</v>
      </c>
      <c r="AU539" s="1131"/>
      <c r="AV539" s="419"/>
      <c r="AW539" s="419"/>
      <c r="AX539" s="419"/>
      <c r="AY539" s="419">
        <f t="shared" si="1209"/>
        <v>0</v>
      </c>
      <c r="AZ539" s="1131"/>
      <c r="BA539" s="419"/>
      <c r="BB539" s="419"/>
      <c r="BC539" s="419"/>
      <c r="BD539" s="419">
        <f t="shared" si="1210"/>
        <v>0</v>
      </c>
      <c r="BE539" s="1131"/>
      <c r="BF539" s="419"/>
      <c r="BG539" s="419"/>
      <c r="BH539" s="464"/>
      <c r="BI539" s="171">
        <f>BH539</f>
        <v>0</v>
      </c>
      <c r="BJ539" s="1133">
        <f t="shared" si="1211"/>
        <v>0</v>
      </c>
      <c r="BK539" s="171">
        <f>BJ539</f>
        <v>0</v>
      </c>
      <c r="BL539" s="171">
        <f>BK539</f>
        <v>0</v>
      </c>
      <c r="BM539" s="171">
        <f>BL539</f>
        <v>0</v>
      </c>
      <c r="BN539" s="171">
        <f>BM539</f>
        <v>0</v>
      </c>
      <c r="BO539" s="1133">
        <f t="shared" si="1212"/>
        <v>0</v>
      </c>
      <c r="BP539" s="1131">
        <f>BO539</f>
        <v>0</v>
      </c>
      <c r="BQ539" s="1131">
        <f>BP539</f>
        <v>0</v>
      </c>
      <c r="BR539" s="1133">
        <f>BQ539</f>
        <v>0</v>
      </c>
      <c r="BS539" s="32"/>
    </row>
    <row r="540" spans="1:71" s="673" customFormat="1" ht="15" hidden="1" outlineLevel="1">
      <c r="A540" s="489" t="s">
        <v>323</v>
      </c>
      <c r="B540" s="480"/>
      <c r="C540" s="1267"/>
      <c r="D540" s="1131"/>
      <c r="E540" s="1131"/>
      <c r="F540" s="1131"/>
      <c r="G540" s="1131"/>
      <c r="H540" s="419"/>
      <c r="I540" s="419"/>
      <c r="J540" s="419"/>
      <c r="K540" s="419">
        <f t="shared" si="1201"/>
        <v>0</v>
      </c>
      <c r="L540" s="1131"/>
      <c r="M540" s="419"/>
      <c r="N540" s="419"/>
      <c r="O540" s="419"/>
      <c r="P540" s="419">
        <f t="shared" si="1202"/>
        <v>241</v>
      </c>
      <c r="Q540" s="1132">
        <v>241</v>
      </c>
      <c r="R540" s="419"/>
      <c r="S540" s="419"/>
      <c r="T540" s="419"/>
      <c r="U540" s="419">
        <f t="shared" si="1203"/>
        <v>492</v>
      </c>
      <c r="V540" s="1132">
        <v>492</v>
      </c>
      <c r="W540" s="1037">
        <v>573</v>
      </c>
      <c r="X540" s="1037">
        <v>589</v>
      </c>
      <c r="Y540" s="1037">
        <v>629</v>
      </c>
      <c r="Z540" s="419">
        <f t="shared" si="1204"/>
        <v>701</v>
      </c>
      <c r="AA540" s="1132">
        <v>701</v>
      </c>
      <c r="AB540" s="1037">
        <v>591</v>
      </c>
      <c r="AC540" s="1037">
        <v>615</v>
      </c>
      <c r="AD540" s="1037">
        <v>759</v>
      </c>
      <c r="AE540" s="419">
        <f t="shared" si="1205"/>
        <v>184</v>
      </c>
      <c r="AF540" s="1132">
        <v>184</v>
      </c>
      <c r="AG540" s="1037">
        <v>620</v>
      </c>
      <c r="AH540" s="1037">
        <v>712</v>
      </c>
      <c r="AI540" s="1037">
        <v>750</v>
      </c>
      <c r="AJ540" s="419">
        <f t="shared" si="1206"/>
        <v>924</v>
      </c>
      <c r="AK540" s="1132">
        <v>924</v>
      </c>
      <c r="AL540" s="1037">
        <v>209</v>
      </c>
      <c r="AM540" s="1037">
        <v>605</v>
      </c>
      <c r="AN540" s="1037">
        <v>697</v>
      </c>
      <c r="AO540" s="419">
        <f t="shared" si="1207"/>
        <v>825</v>
      </c>
      <c r="AP540" s="1132">
        <v>825</v>
      </c>
      <c r="AQ540" s="419"/>
      <c r="AR540" s="419"/>
      <c r="AS540" s="419"/>
      <c r="AT540" s="419">
        <f t="shared" si="1208"/>
        <v>0</v>
      </c>
      <c r="AU540" s="1131"/>
      <c r="AV540" s="419"/>
      <c r="AW540" s="419"/>
      <c r="AX540" s="419"/>
      <c r="AY540" s="419">
        <f t="shared" si="1209"/>
        <v>0</v>
      </c>
      <c r="AZ540" s="1131"/>
      <c r="BA540" s="419"/>
      <c r="BB540" s="419"/>
      <c r="BC540" s="419"/>
      <c r="BD540" s="419">
        <f t="shared" si="1210"/>
        <v>0</v>
      </c>
      <c r="BE540" s="1131"/>
      <c r="BF540" s="419"/>
      <c r="BG540" s="419"/>
      <c r="BH540" s="464"/>
      <c r="BI540" s="171">
        <f>BH540-BI482-BI489</f>
        <v>0</v>
      </c>
      <c r="BJ540" s="1133">
        <f t="shared" si="1211"/>
        <v>0</v>
      </c>
      <c r="BK540" s="171">
        <f t="shared" si="1213" ref="BK540:BN541">BJ540-BK482-BK489</f>
        <v>0</v>
      </c>
      <c r="BL540" s="171">
        <f t="shared" si="1213"/>
        <v>0</v>
      </c>
      <c r="BM540" s="171">
        <f t="shared" si="1213"/>
        <v>0</v>
      </c>
      <c r="BN540" s="171">
        <f t="shared" si="1213"/>
        <v>0</v>
      </c>
      <c r="BO540" s="1133">
        <f t="shared" si="1212"/>
        <v>0</v>
      </c>
      <c r="BP540" s="1131">
        <f t="shared" si="1214" ref="BP540:BR541">BO540-BP482-BP489</f>
        <v>0</v>
      </c>
      <c r="BQ540" s="1131">
        <f t="shared" si="1214"/>
        <v>0</v>
      </c>
      <c r="BR540" s="1133">
        <f t="shared" si="1214"/>
        <v>0</v>
      </c>
      <c r="BS540" s="32"/>
    </row>
    <row r="541" spans="1:71" s="673" customFormat="1" ht="15" hidden="1" outlineLevel="1">
      <c r="A541" s="601" t="s">
        <v>324</v>
      </c>
      <c r="B541" s="481"/>
      <c r="C541" s="1268">
        <v>413</v>
      </c>
      <c r="D541" s="1135">
        <v>428</v>
      </c>
      <c r="E541" s="1135">
        <v>425</v>
      </c>
      <c r="F541" s="1135">
        <v>531</v>
      </c>
      <c r="G541" s="1135">
        <v>715</v>
      </c>
      <c r="H541" s="1040">
        <v>744</v>
      </c>
      <c r="I541" s="1040">
        <v>770</v>
      </c>
      <c r="J541" s="1040">
        <v>766</v>
      </c>
      <c r="K541" s="363">
        <f t="shared" si="1201"/>
        <v>826</v>
      </c>
      <c r="L541" s="1135">
        <v>826</v>
      </c>
      <c r="M541" s="1040">
        <v>904</v>
      </c>
      <c r="N541" s="1040">
        <v>908</v>
      </c>
      <c r="O541" s="1040">
        <v>809</v>
      </c>
      <c r="P541" s="363">
        <f t="shared" si="1202"/>
        <v>750</v>
      </c>
      <c r="Q541" s="1135">
        <v>750</v>
      </c>
      <c r="R541" s="1040">
        <v>1093</v>
      </c>
      <c r="S541" s="1040">
        <v>1270</v>
      </c>
      <c r="T541" s="1040">
        <v>1411</v>
      </c>
      <c r="U541" s="363">
        <f t="shared" si="1203"/>
        <v>1034</v>
      </c>
      <c r="V541" s="1135">
        <v>1034</v>
      </c>
      <c r="W541" s="1040">
        <v>1086</v>
      </c>
      <c r="X541" s="1040">
        <v>1128</v>
      </c>
      <c r="Y541" s="1040">
        <v>1239</v>
      </c>
      <c r="Z541" s="363">
        <f t="shared" si="1204"/>
        <v>1311</v>
      </c>
      <c r="AA541" s="1135">
        <v>1311</v>
      </c>
      <c r="AB541" s="1040">
        <v>268</v>
      </c>
      <c r="AC541" s="1040">
        <v>272</v>
      </c>
      <c r="AD541" s="1040">
        <v>282</v>
      </c>
      <c r="AE541" s="363">
        <f t="shared" si="1205"/>
        <v>267</v>
      </c>
      <c r="AF541" s="1135">
        <v>267</v>
      </c>
      <c r="AG541" s="1040">
        <v>262</v>
      </c>
      <c r="AH541" s="1040">
        <v>271</v>
      </c>
      <c r="AI541" s="1040">
        <v>274</v>
      </c>
      <c r="AJ541" s="363">
        <f t="shared" si="1206"/>
        <v>278</v>
      </c>
      <c r="AK541" s="1135">
        <v>278</v>
      </c>
      <c r="AL541" s="1040">
        <v>280</v>
      </c>
      <c r="AM541" s="1040">
        <v>279</v>
      </c>
      <c r="AN541" s="1040">
        <v>275</v>
      </c>
      <c r="AO541" s="363">
        <f t="shared" si="1207"/>
        <v>276</v>
      </c>
      <c r="AP541" s="1135">
        <v>276</v>
      </c>
      <c r="AQ541" s="1040">
        <v>218</v>
      </c>
      <c r="AR541" s="1040">
        <v>198</v>
      </c>
      <c r="AS541" s="1040">
        <v>161</v>
      </c>
      <c r="AT541" s="363">
        <f t="shared" si="1208"/>
        <v>150</v>
      </c>
      <c r="AU541" s="1135">
        <v>150</v>
      </c>
      <c r="AV541" s="1040">
        <v>156</v>
      </c>
      <c r="AW541" s="1040">
        <v>132</v>
      </c>
      <c r="AX541" s="1040">
        <v>131</v>
      </c>
      <c r="AY541" s="363">
        <f t="shared" si="1209"/>
        <v>127</v>
      </c>
      <c r="AZ541" s="1135">
        <v>127</v>
      </c>
      <c r="BA541" s="1040">
        <v>127</v>
      </c>
      <c r="BB541" s="1040">
        <v>129</v>
      </c>
      <c r="BC541" s="1040">
        <v>133</v>
      </c>
      <c r="BD541" s="419">
        <f t="shared" si="1210"/>
        <v>129</v>
      </c>
      <c r="BE541" s="1132">
        <v>129</v>
      </c>
      <c r="BF541" s="1040">
        <v>129</v>
      </c>
      <c r="BG541" s="1040">
        <v>147</v>
      </c>
      <c r="BH541" s="1044">
        <v>149</v>
      </c>
      <c r="BI541" s="363">
        <f>BH541-BI483-BI490</f>
        <v>151.64999999999998</v>
      </c>
      <c r="BJ541" s="1134">
        <f t="shared" si="1211"/>
        <v>151.64999999999998</v>
      </c>
      <c r="BK541" s="363">
        <f t="shared" si="1213"/>
        <v>158.54426229508195</v>
      </c>
      <c r="BL541" s="363">
        <f t="shared" si="1213"/>
        <v>168.89426229508194</v>
      </c>
      <c r="BM541" s="363">
        <f t="shared" si="1213"/>
        <v>180.39426229508194</v>
      </c>
      <c r="BN541" s="363">
        <f t="shared" si="1213"/>
        <v>183.44176229508193</v>
      </c>
      <c r="BO541" s="1134">
        <f t="shared" si="1212"/>
        <v>183.44176229508193</v>
      </c>
      <c r="BP541" s="1134">
        <f t="shared" si="1214"/>
        <v>207.84876366494493</v>
      </c>
      <c r="BQ541" s="1134">
        <f t="shared" si="1214"/>
        <v>235.91681524028738</v>
      </c>
      <c r="BR541" s="1134">
        <f t="shared" si="1214"/>
        <v>268.19507455193116</v>
      </c>
      <c r="BS541" s="32"/>
    </row>
    <row r="542" spans="1:71" s="673" customFormat="1" ht="15" collapsed="1">
      <c r="A542" s="114" t="s">
        <v>325</v>
      </c>
      <c r="B542" s="417"/>
      <c r="C542" s="1140">
        <f t="shared" si="1215" ref="C542:AK542">SUM(C531:C541)</f>
        <v>19791</v>
      </c>
      <c r="D542" s="1140">
        <f t="shared" si="1215"/>
        <v>22670</v>
      </c>
      <c r="E542" s="1140">
        <f t="shared" si="1215"/>
        <v>25577</v>
      </c>
      <c r="F542" s="1140">
        <f t="shared" si="1215"/>
        <v>28449</v>
      </c>
      <c r="G542" s="1140">
        <f t="shared" si="1215"/>
        <v>31313</v>
      </c>
      <c r="H542" s="288">
        <f t="shared" si="1215"/>
        <v>32727</v>
      </c>
      <c r="I542" s="288">
        <f t="shared" si="1215"/>
        <v>34843</v>
      </c>
      <c r="J542" s="288">
        <f t="shared" si="1215"/>
        <v>35151</v>
      </c>
      <c r="K542" s="288">
        <f t="shared" si="1215"/>
        <v>36210</v>
      </c>
      <c r="L542" s="1140">
        <f t="shared" si="1215"/>
        <v>36210</v>
      </c>
      <c r="M542" s="288">
        <f t="shared" si="1215"/>
        <v>37384</v>
      </c>
      <c r="N542" s="288">
        <f t="shared" si="1215"/>
        <v>37644</v>
      </c>
      <c r="O542" s="288">
        <f t="shared" si="1215"/>
        <v>38132</v>
      </c>
      <c r="P542" s="288">
        <f t="shared" si="1215"/>
        <v>37736</v>
      </c>
      <c r="Q542" s="1140">
        <f t="shared" si="1215"/>
        <v>37736</v>
      </c>
      <c r="R542" s="288">
        <f t="shared" si="1215"/>
        <v>39437</v>
      </c>
      <c r="S542" s="288">
        <f t="shared" si="1215"/>
        <v>40639</v>
      </c>
      <c r="T542" s="288">
        <f t="shared" si="1215"/>
        <v>41805</v>
      </c>
      <c r="U542" s="288">
        <f t="shared" si="1215"/>
        <v>41433</v>
      </c>
      <c r="V542" s="1140">
        <f t="shared" si="1215"/>
        <v>41433</v>
      </c>
      <c r="W542" s="288">
        <f t="shared" si="1215"/>
        <v>43350</v>
      </c>
      <c r="X542" s="288">
        <f t="shared" si="1215"/>
        <v>44779</v>
      </c>
      <c r="Y542" s="288">
        <f t="shared" si="1215"/>
        <v>45253</v>
      </c>
      <c r="Z542" s="288">
        <f t="shared" si="1215"/>
        <v>46048</v>
      </c>
      <c r="AA542" s="1140">
        <f t="shared" si="1215"/>
        <v>46048</v>
      </c>
      <c r="AB542" s="288">
        <f t="shared" si="1215"/>
        <v>45949</v>
      </c>
      <c r="AC542" s="288">
        <f t="shared" si="1215"/>
        <v>46779</v>
      </c>
      <c r="AD542" s="288">
        <f t="shared" si="1215"/>
        <v>47841</v>
      </c>
      <c r="AE542" s="288">
        <f t="shared" si="1215"/>
        <v>48498</v>
      </c>
      <c r="AF542" s="1140">
        <f t="shared" si="1215"/>
        <v>48498</v>
      </c>
      <c r="AG542" s="288">
        <f t="shared" si="1215"/>
        <v>51040</v>
      </c>
      <c r="AH542" s="288">
        <f t="shared" si="1215"/>
        <v>52907</v>
      </c>
      <c r="AI542" s="288">
        <f t="shared" si="1215"/>
        <v>54207</v>
      </c>
      <c r="AJ542" s="288">
        <f t="shared" si="1215"/>
        <v>55252</v>
      </c>
      <c r="AK542" s="1140">
        <f t="shared" si="1215"/>
        <v>55252</v>
      </c>
      <c r="AL542" s="288">
        <f t="shared" si="1216" ref="AL542:AS542">SUM(AL531:AL541)</f>
        <v>53221</v>
      </c>
      <c r="AM542" s="288">
        <f t="shared" si="1216"/>
        <v>56741</v>
      </c>
      <c r="AN542" s="288">
        <f t="shared" si="1216"/>
        <v>58087</v>
      </c>
      <c r="AO542" s="288">
        <f t="shared" si="1216"/>
        <v>52502</v>
      </c>
      <c r="AP542" s="1140">
        <f t="shared" si="1216"/>
        <v>52502</v>
      </c>
      <c r="AQ542" s="288">
        <f t="shared" si="1216"/>
        <v>14536</v>
      </c>
      <c r="AR542" s="288">
        <f t="shared" si="1216"/>
        <v>16125</v>
      </c>
      <c r="AS542" s="288">
        <f t="shared" si="1216"/>
        <v>16387</v>
      </c>
      <c r="AT542" s="288">
        <f>SUM(AT531:AT541)</f>
        <v>15745</v>
      </c>
      <c r="AU542" s="1140">
        <f>SUM(AU531:AU541)</f>
        <v>15745</v>
      </c>
      <c r="AV542" s="288">
        <f>SUM(AV531:AV541)</f>
        <v>15601</v>
      </c>
      <c r="AW542" s="288">
        <f>SUM(AW531:AW541)</f>
        <v>14268</v>
      </c>
      <c r="AX542" s="288">
        <f t="shared" si="1217" ref="AX542:BJ542">SUM(AX531:AX541)</f>
        <v>14322</v>
      </c>
      <c r="AY542" s="288">
        <f t="shared" si="1218" ref="AY542:BI542">SUM(AY531:AY541)</f>
        <v>14512</v>
      </c>
      <c r="AZ542" s="1140">
        <f t="shared" si="1218"/>
        <v>14512</v>
      </c>
      <c r="BA542" s="288">
        <f t="shared" si="1218"/>
        <v>14451</v>
      </c>
      <c r="BB542" s="288">
        <f t="shared" si="1218"/>
        <v>14489</v>
      </c>
      <c r="BC542" s="288">
        <f t="shared" si="1218"/>
        <v>14794</v>
      </c>
      <c r="BD542" s="125">
        <f t="shared" si="1218"/>
        <v>15263</v>
      </c>
      <c r="BE542" s="1159">
        <f t="shared" si="1218"/>
        <v>15263</v>
      </c>
      <c r="BF542" s="288">
        <f>SUM(BF531:BF541)</f>
        <v>15254</v>
      </c>
      <c r="BG542" s="288">
        <f>SUM(BG531:BG541)</f>
        <v>15261</v>
      </c>
      <c r="BH542" s="875">
        <f>SUM(BH531:BH541)</f>
        <v>15741</v>
      </c>
      <c r="BI542" s="171">
        <f t="shared" ca="1" si="1218"/>
        <v>15910.333975533642</v>
      </c>
      <c r="BJ542" s="1133">
        <f t="shared" ca="1" si="1217"/>
        <v>15910.333975533642</v>
      </c>
      <c r="BK542" s="171">
        <f ca="1" t="shared" si="1219" ref="BK542:BR542">SUM(BK531:BK541)</f>
        <v>16464.424714576417</v>
      </c>
      <c r="BL542" s="171">
        <f t="shared" ca="1" si="1219"/>
        <v>17008.44164710529</v>
      </c>
      <c r="BM542" s="171">
        <f t="shared" ca="1" si="1219"/>
        <v>17608.509078554853</v>
      </c>
      <c r="BN542" s="171">
        <f t="shared" ca="1" si="1219"/>
        <v>18198.689491080044</v>
      </c>
      <c r="BO542" s="1133">
        <f t="shared" ca="1" si="1219"/>
        <v>18198.689491080044</v>
      </c>
      <c r="BP542" s="1131">
        <f t="shared" ca="1" si="1219"/>
        <v>20749.285349310678</v>
      </c>
      <c r="BQ542" s="1131">
        <f t="shared" ca="1" si="1219"/>
        <v>24129.058199487983</v>
      </c>
      <c r="BR542" s="1133">
        <f t="shared" ca="1" si="1219"/>
        <v>27670.92577613172</v>
      </c>
      <c r="BS542" s="32"/>
    </row>
    <row r="543" spans="1:71" s="673" customFormat="1" ht="15">
      <c r="A543" s="114" t="s">
        <v>326</v>
      </c>
      <c r="B543" s="417"/>
      <c r="C543" s="1132">
        <v>3279</v>
      </c>
      <c r="D543" s="1132">
        <v>2964</v>
      </c>
      <c r="E543" s="1132">
        <v>2942</v>
      </c>
      <c r="F543" s="1132">
        <v>3750</v>
      </c>
      <c r="G543" s="1132">
        <v>3157</v>
      </c>
      <c r="H543" s="1037">
        <v>2969</v>
      </c>
      <c r="I543" s="1037">
        <v>3107</v>
      </c>
      <c r="J543" s="1037">
        <v>3134</v>
      </c>
      <c r="K543" s="288">
        <f t="shared" si="1220" ref="K543:K551">L543</f>
        <v>3238</v>
      </c>
      <c r="L543" s="1132">
        <v>3238</v>
      </c>
      <c r="M543" s="1037">
        <v>3046</v>
      </c>
      <c r="N543" s="1037">
        <v>3075</v>
      </c>
      <c r="O543" s="1037">
        <v>3151</v>
      </c>
      <c r="P543" s="288">
        <f t="shared" si="1221" ref="P543:P551">Q543</f>
        <v>2636</v>
      </c>
      <c r="Q543" s="1132">
        <v>2636</v>
      </c>
      <c r="R543" s="1037">
        <v>2561</v>
      </c>
      <c r="S543" s="1037">
        <v>2576</v>
      </c>
      <c r="T543" s="1037">
        <v>2814</v>
      </c>
      <c r="U543" s="288">
        <f t="shared" si="1222" ref="U543:U551">V543</f>
        <v>2737</v>
      </c>
      <c r="V543" s="1132">
        <v>2737</v>
      </c>
      <c r="W543" s="1037">
        <v>2735</v>
      </c>
      <c r="X543" s="1037">
        <v>2839</v>
      </c>
      <c r="Y543" s="1037">
        <v>3262</v>
      </c>
      <c r="Z543" s="288">
        <f t="shared" si="1223" ref="Z543:Z551">AA543</f>
        <v>3369</v>
      </c>
      <c r="AA543" s="1132">
        <v>3369</v>
      </c>
      <c r="AB543" s="1037">
        <v>3173</v>
      </c>
      <c r="AC543" s="1037">
        <v>3073</v>
      </c>
      <c r="AD543" s="1037">
        <v>3352</v>
      </c>
      <c r="AE543" s="288">
        <f t="shared" si="1224" ref="AE543:AE551">AF543</f>
        <v>3349</v>
      </c>
      <c r="AF543" s="1132">
        <v>3349</v>
      </c>
      <c r="AG543" s="1037">
        <v>3258</v>
      </c>
      <c r="AH543" s="1037">
        <v>3150</v>
      </c>
      <c r="AI543" s="1037">
        <v>3261</v>
      </c>
      <c r="AJ543" s="288">
        <f t="shared" si="1225" ref="AJ543:AJ551">AK543</f>
        <v>3415</v>
      </c>
      <c r="AK543" s="1132">
        <v>3415</v>
      </c>
      <c r="AL543" s="1037">
        <v>3387</v>
      </c>
      <c r="AM543" s="1037">
        <v>3476</v>
      </c>
      <c r="AN543" s="1037">
        <v>3819</v>
      </c>
      <c r="AO543" s="288">
        <f t="shared" si="1226" ref="AO543:AO551">AP543</f>
        <v>10092</v>
      </c>
      <c r="AP543" s="1132">
        <f>3288+6539+265</f>
        <v>10092</v>
      </c>
      <c r="AQ543" s="1037">
        <v>3231</v>
      </c>
      <c r="AR543" s="1037">
        <v>3330</v>
      </c>
      <c r="AS543" s="1037">
        <v>3523</v>
      </c>
      <c r="AT543" s="288">
        <f t="shared" si="1227" ref="AT543:AT551">AU543</f>
        <v>3519</v>
      </c>
      <c r="AU543" s="1132">
        <v>3519</v>
      </c>
      <c r="AV543" s="1037">
        <v>3478</v>
      </c>
      <c r="AW543" s="1037">
        <v>3567</v>
      </c>
      <c r="AX543" s="1037">
        <v>4108</v>
      </c>
      <c r="AY543" s="288">
        <f t="shared" si="1228" ref="AY543:AY551">AZ543</f>
        <v>3977</v>
      </c>
      <c r="AZ543" s="1132">
        <v>3977</v>
      </c>
      <c r="BA543" s="1037">
        <v>3838</v>
      </c>
      <c r="BB543" s="1037">
        <v>3852</v>
      </c>
      <c r="BC543" s="1037">
        <v>4421</v>
      </c>
      <c r="BD543" s="288">
        <f t="shared" si="1229" ref="BD543:BD551">BE543</f>
        <v>4477</v>
      </c>
      <c r="BE543" s="1132">
        <v>4477</v>
      </c>
      <c r="BF543" s="1037">
        <v>4510</v>
      </c>
      <c r="BG543" s="1037">
        <v>4157</v>
      </c>
      <c r="BH543" s="1038">
        <v>5217</v>
      </c>
      <c r="BI543" s="171">
        <f>BH543-BI469</f>
        <v>5244.4743887155382</v>
      </c>
      <c r="BJ543" s="1133">
        <f t="shared" si="1230" ref="BJ543:BJ552">BI543</f>
        <v>5244.4743887155382</v>
      </c>
      <c r="BK543" s="171">
        <f t="shared" si="1231" ref="BK543:BN544">BJ543-BK469</f>
        <v>5264.2038186222135</v>
      </c>
      <c r="BL543" s="171">
        <f t="shared" si="1231"/>
        <v>5292.9689787141651</v>
      </c>
      <c r="BM543" s="171">
        <f t="shared" si="1231"/>
        <v>5342.3328608918609</v>
      </c>
      <c r="BN543" s="171">
        <f t="shared" si="1231"/>
        <v>5369.2258446024807</v>
      </c>
      <c r="BO543" s="1133">
        <f t="shared" si="1232" ref="BO543:BO552">BN543</f>
        <v>5369.2258446024807</v>
      </c>
      <c r="BP543" s="1131">
        <f t="shared" si="1233" ref="BP543:BR544">BO543-BP469</f>
        <v>5498.6914285714402</v>
      </c>
      <c r="BQ543" s="1131">
        <f t="shared" si="1233"/>
        <v>5575.4585799996348</v>
      </c>
      <c r="BR543" s="1133">
        <f t="shared" si="1233"/>
        <v>5656.758361748819</v>
      </c>
      <c r="BS543" s="32"/>
    </row>
    <row r="544" spans="1:71" s="673" customFormat="1" ht="15">
      <c r="A544" s="114" t="s">
        <v>327</v>
      </c>
      <c r="B544" s="417"/>
      <c r="C544" s="1132">
        <v>381</v>
      </c>
      <c r="D544" s="1132">
        <v>422</v>
      </c>
      <c r="E544" s="1132">
        <v>409</v>
      </c>
      <c r="F544" s="1132">
        <v>471</v>
      </c>
      <c r="G544" s="1132">
        <v>408</v>
      </c>
      <c r="H544" s="1037">
        <v>438</v>
      </c>
      <c r="I544" s="1037">
        <v>489</v>
      </c>
      <c r="J544" s="1037">
        <v>587</v>
      </c>
      <c r="K544" s="288">
        <f t="shared" si="1220"/>
        <v>469</v>
      </c>
      <c r="L544" s="1132">
        <v>469</v>
      </c>
      <c r="M544" s="1037">
        <v>475</v>
      </c>
      <c r="N544" s="1037">
        <v>499</v>
      </c>
      <c r="O544" s="1037">
        <v>604</v>
      </c>
      <c r="P544" s="288">
        <f t="shared" si="1221"/>
        <v>480</v>
      </c>
      <c r="Q544" s="1132">
        <v>480</v>
      </c>
      <c r="R544" s="1037">
        <v>475</v>
      </c>
      <c r="S544" s="1037">
        <v>521</v>
      </c>
      <c r="T544" s="1037">
        <v>634</v>
      </c>
      <c r="U544" s="288">
        <f t="shared" si="1222"/>
        <v>539</v>
      </c>
      <c r="V544" s="1132">
        <v>539</v>
      </c>
      <c r="W544" s="1037">
        <v>533</v>
      </c>
      <c r="X544" s="1037">
        <v>587</v>
      </c>
      <c r="Y544" s="1037">
        <v>691</v>
      </c>
      <c r="Z544" s="288">
        <f t="shared" si="1223"/>
        <v>600</v>
      </c>
      <c r="AA544" s="1132">
        <v>600</v>
      </c>
      <c r="AB544" s="1037">
        <v>614</v>
      </c>
      <c r="AC544" s="1037">
        <v>645</v>
      </c>
      <c r="AD544" s="1037">
        <v>717</v>
      </c>
      <c r="AE544" s="288">
        <f t="shared" si="1224"/>
        <v>610</v>
      </c>
      <c r="AF544" s="1132">
        <v>610</v>
      </c>
      <c r="AG544" s="1037">
        <v>636</v>
      </c>
      <c r="AH544" s="1037">
        <v>651</v>
      </c>
      <c r="AI544" s="1037">
        <v>781</v>
      </c>
      <c r="AJ544" s="288">
        <f t="shared" si="1225"/>
        <v>678</v>
      </c>
      <c r="AK544" s="1132">
        <v>678</v>
      </c>
      <c r="AL544" s="1037">
        <v>708</v>
      </c>
      <c r="AM544" s="1037">
        <v>733</v>
      </c>
      <c r="AN544" s="1037">
        <v>862</v>
      </c>
      <c r="AO544" s="288">
        <f t="shared" si="1226"/>
        <v>768</v>
      </c>
      <c r="AP544" s="1132">
        <v>768</v>
      </c>
      <c r="AQ544" s="1037">
        <v>755</v>
      </c>
      <c r="AR544" s="1037">
        <v>865</v>
      </c>
      <c r="AS544" s="1037">
        <v>1028</v>
      </c>
      <c r="AT544" s="288">
        <f t="shared" si="1227"/>
        <v>834</v>
      </c>
      <c r="AU544" s="1132">
        <v>834</v>
      </c>
      <c r="AV544" s="1037">
        <v>933</v>
      </c>
      <c r="AW544" s="1037">
        <v>1006</v>
      </c>
      <c r="AX544" s="1037">
        <v>1180</v>
      </c>
      <c r="AY544" s="288">
        <f t="shared" si="1228"/>
        <v>917</v>
      </c>
      <c r="AZ544" s="1132">
        <v>917</v>
      </c>
      <c r="BA544" s="1037">
        <v>1021</v>
      </c>
      <c r="BB544" s="1037">
        <v>1112</v>
      </c>
      <c r="BC544" s="1037">
        <v>1223</v>
      </c>
      <c r="BD544" s="288">
        <f t="shared" si="1229"/>
        <v>961</v>
      </c>
      <c r="BE544" s="1132">
        <v>961</v>
      </c>
      <c r="BF544" s="1037">
        <v>1078</v>
      </c>
      <c r="BG544" s="1037">
        <v>1143</v>
      </c>
      <c r="BH544" s="1038">
        <v>1346</v>
      </c>
      <c r="BI544" s="171">
        <f>BH544-BI470</f>
        <v>1425.7306169999999</v>
      </c>
      <c r="BJ544" s="1133">
        <f t="shared" si="1230"/>
        <v>1425.7306169999999</v>
      </c>
      <c r="BK544" s="171">
        <f t="shared" si="1231"/>
        <v>1499.24422</v>
      </c>
      <c r="BL544" s="171">
        <f t="shared" si="1231"/>
        <v>1619.7187670000001</v>
      </c>
      <c r="BM544" s="171">
        <f t="shared" si="1231"/>
        <v>1901.1058870000002</v>
      </c>
      <c r="BN544" s="171">
        <f t="shared" si="1231"/>
        <v>2013.3017400000001</v>
      </c>
      <c r="BO544" s="1133">
        <f t="shared" si="1232"/>
        <v>2013.3017400000001</v>
      </c>
      <c r="BP544" s="1131">
        <f t="shared" si="1233"/>
        <v>2513.2049190000002</v>
      </c>
      <c r="BQ544" s="1131">
        <f t="shared" si="1233"/>
        <v>2761.0417070000003</v>
      </c>
      <c r="BR544" s="1133">
        <f t="shared" si="1233"/>
        <v>3020.9406160000003</v>
      </c>
      <c r="BS544" s="32"/>
    </row>
    <row r="545" spans="1:71" s="673" customFormat="1" ht="15">
      <c r="A545" s="114" t="s">
        <v>328</v>
      </c>
      <c r="B545" s="417"/>
      <c r="C545" s="1132">
        <v>554</v>
      </c>
      <c r="D545" s="1132">
        <v>535</v>
      </c>
      <c r="E545" s="1132">
        <v>565</v>
      </c>
      <c r="F545" s="1132">
        <v>636</v>
      </c>
      <c r="G545" s="1132">
        <v>739</v>
      </c>
      <c r="H545" s="1037">
        <v>735</v>
      </c>
      <c r="I545" s="1037">
        <v>902</v>
      </c>
      <c r="J545" s="1037">
        <v>901</v>
      </c>
      <c r="K545" s="288">
        <f t="shared" si="1220"/>
        <v>889</v>
      </c>
      <c r="L545" s="1132">
        <v>889</v>
      </c>
      <c r="M545" s="1037">
        <v>864</v>
      </c>
      <c r="N545" s="1037">
        <v>959</v>
      </c>
      <c r="O545" s="1037">
        <v>976</v>
      </c>
      <c r="P545" s="288">
        <f t="shared" si="1221"/>
        <v>937</v>
      </c>
      <c r="Q545" s="1132">
        <v>937</v>
      </c>
      <c r="R545" s="1037">
        <v>936</v>
      </c>
      <c r="S545" s="1037">
        <v>992</v>
      </c>
      <c r="T545" s="1037">
        <v>1029</v>
      </c>
      <c r="U545" s="288">
        <f t="shared" si="1222"/>
        <v>997</v>
      </c>
      <c r="V545" s="1132">
        <v>997</v>
      </c>
      <c r="W545" s="1037">
        <v>989</v>
      </c>
      <c r="X545" s="1037">
        <v>1124</v>
      </c>
      <c r="Y545" s="1037">
        <v>1173</v>
      </c>
      <c r="Z545" s="288">
        <f t="shared" si="1223"/>
        <v>1146</v>
      </c>
      <c r="AA545" s="1132">
        <v>1146</v>
      </c>
      <c r="AB545" s="1037">
        <v>1113</v>
      </c>
      <c r="AC545" s="1037">
        <v>1266</v>
      </c>
      <c r="AD545" s="1037">
        <v>1299</v>
      </c>
      <c r="AE545" s="288">
        <f t="shared" si="1224"/>
        <v>1234</v>
      </c>
      <c r="AF545" s="1132">
        <v>1234</v>
      </c>
      <c r="AG545" s="1037">
        <v>1283</v>
      </c>
      <c r="AH545" s="1037">
        <v>1398</v>
      </c>
      <c r="AI545" s="1037">
        <v>1403</v>
      </c>
      <c r="AJ545" s="288">
        <f t="shared" si="1225"/>
        <v>1335</v>
      </c>
      <c r="AK545" s="1132">
        <v>1335</v>
      </c>
      <c r="AL545" s="1037">
        <v>1302</v>
      </c>
      <c r="AM545" s="1037">
        <v>1366</v>
      </c>
      <c r="AN545" s="1037">
        <v>1384</v>
      </c>
      <c r="AO545" s="288">
        <f t="shared" si="1226"/>
        <v>1231</v>
      </c>
      <c r="AP545" s="1132">
        <v>1231</v>
      </c>
      <c r="AQ545" s="1037">
        <v>1209</v>
      </c>
      <c r="AR545" s="1037">
        <v>1423</v>
      </c>
      <c r="AS545" s="1037">
        <v>1492</v>
      </c>
      <c r="AT545" s="288">
        <f t="shared" si="1227"/>
        <v>1265</v>
      </c>
      <c r="AU545" s="1132">
        <v>1265</v>
      </c>
      <c r="AV545" s="1037">
        <v>1391</v>
      </c>
      <c r="AW545" s="1037">
        <v>1623</v>
      </c>
      <c r="AX545" s="1037">
        <v>1698</v>
      </c>
      <c r="AY545" s="288">
        <f t="shared" si="1228"/>
        <v>1339</v>
      </c>
      <c r="AZ545" s="1132">
        <v>1339</v>
      </c>
      <c r="BA545" s="1037">
        <v>1459</v>
      </c>
      <c r="BB545" s="1037">
        <v>1796</v>
      </c>
      <c r="BC545" s="1037">
        <v>2088</v>
      </c>
      <c r="BD545" s="288">
        <f t="shared" si="1229"/>
        <v>1471</v>
      </c>
      <c r="BE545" s="1132">
        <v>1471</v>
      </c>
      <c r="BF545" s="1037">
        <v>1606</v>
      </c>
      <c r="BG545" s="1037">
        <v>1909</v>
      </c>
      <c r="BH545" s="1038">
        <v>1995</v>
      </c>
      <c r="BI545" s="171">
        <f>BH545</f>
        <v>1995</v>
      </c>
      <c r="BJ545" s="1133">
        <f t="shared" si="1230"/>
        <v>1995</v>
      </c>
      <c r="BK545" s="171">
        <f>BJ545</f>
        <v>1995</v>
      </c>
      <c r="BL545" s="171">
        <f>BK545</f>
        <v>1995</v>
      </c>
      <c r="BM545" s="171">
        <f>BL545</f>
        <v>1995</v>
      </c>
      <c r="BN545" s="171">
        <f>BM545</f>
        <v>1995</v>
      </c>
      <c r="BO545" s="1133">
        <f t="shared" si="1232"/>
        <v>1995</v>
      </c>
      <c r="BP545" s="1131">
        <f>BO545</f>
        <v>1995</v>
      </c>
      <c r="BQ545" s="1131">
        <f>BP545</f>
        <v>1995</v>
      </c>
      <c r="BR545" s="1133">
        <f>BQ545</f>
        <v>1995</v>
      </c>
      <c r="BS545" s="32"/>
    </row>
    <row r="546" spans="1:71" s="673" customFormat="1" ht="15">
      <c r="A546" s="114" t="s">
        <v>329</v>
      </c>
      <c r="B546" s="417"/>
      <c r="C546" s="1132">
        <v>1570</v>
      </c>
      <c r="D546" s="1132">
        <v>1031</v>
      </c>
      <c r="E546" s="1132">
        <v>901</v>
      </c>
      <c r="F546" s="1132">
        <v>550</v>
      </c>
      <c r="G546" s="1132">
        <v>975</v>
      </c>
      <c r="H546" s="1037">
        <v>890</v>
      </c>
      <c r="I546" s="1037">
        <v>806</v>
      </c>
      <c r="J546" s="1037">
        <v>858</v>
      </c>
      <c r="K546" s="288">
        <f t="shared" si="1220"/>
        <v>821</v>
      </c>
      <c r="L546" s="1132">
        <v>821</v>
      </c>
      <c r="M546" s="1037">
        <v>756</v>
      </c>
      <c r="N546" s="1037">
        <v>965</v>
      </c>
      <c r="O546" s="1037">
        <v>993</v>
      </c>
      <c r="P546" s="288">
        <f t="shared" si="1221"/>
        <v>1184</v>
      </c>
      <c r="Q546" s="1132">
        <v>1184</v>
      </c>
      <c r="R546" s="1037">
        <v>1055</v>
      </c>
      <c r="S546" s="1037">
        <v>881</v>
      </c>
      <c r="T546" s="1037">
        <v>867</v>
      </c>
      <c r="U546" s="288">
        <f t="shared" si="1222"/>
        <v>1239</v>
      </c>
      <c r="V546" s="1132">
        <v>1239</v>
      </c>
      <c r="W546" s="1037">
        <v>1205</v>
      </c>
      <c r="X546" s="1037">
        <v>1156</v>
      </c>
      <c r="Y546" s="1037">
        <v>1119</v>
      </c>
      <c r="Z546" s="288">
        <f t="shared" si="1223"/>
        <v>1216</v>
      </c>
      <c r="AA546" s="1132">
        <v>1216</v>
      </c>
      <c r="AB546" s="1037">
        <v>1417</v>
      </c>
      <c r="AC546" s="1037">
        <v>1582</v>
      </c>
      <c r="AD546" s="1037">
        <v>1669</v>
      </c>
      <c r="AE546" s="288">
        <f t="shared" si="1224"/>
        <v>1682</v>
      </c>
      <c r="AF546" s="1132">
        <v>1682</v>
      </c>
      <c r="AG546" s="1037">
        <v>1447</v>
      </c>
      <c r="AH546" s="1037">
        <v>1203</v>
      </c>
      <c r="AI546" s="1037">
        <v>964</v>
      </c>
      <c r="AJ546" s="288">
        <f t="shared" si="1225"/>
        <v>1037</v>
      </c>
      <c r="AK546" s="1132">
        <v>1037</v>
      </c>
      <c r="AL546" s="1037">
        <v>1573</v>
      </c>
      <c r="AM546" s="1037">
        <v>818</v>
      </c>
      <c r="AN546" s="1037">
        <v>497</v>
      </c>
      <c r="AO546" s="288">
        <f t="shared" si="1226"/>
        <v>546</v>
      </c>
      <c r="AP546" s="1132">
        <v>546</v>
      </c>
      <c r="AQ546" s="1037">
        <v>244</v>
      </c>
      <c r="AR546" s="1037">
        <v>258</v>
      </c>
      <c r="AS546" s="1037">
        <v>262</v>
      </c>
      <c r="AT546" s="288">
        <f t="shared" si="1227"/>
        <v>267</v>
      </c>
      <c r="AU546" s="1132">
        <v>267</v>
      </c>
      <c r="AV546" s="1037">
        <v>271</v>
      </c>
      <c r="AW546" s="1037">
        <v>293</v>
      </c>
      <c r="AX546" s="1037">
        <v>292</v>
      </c>
      <c r="AY546" s="288">
        <f t="shared" si="1228"/>
        <v>288</v>
      </c>
      <c r="AZ546" s="1132">
        <v>288</v>
      </c>
      <c r="BA546" s="1037">
        <v>285</v>
      </c>
      <c r="BB546" s="1037">
        <v>316</v>
      </c>
      <c r="BC546" s="1037">
        <v>324</v>
      </c>
      <c r="BD546" s="288">
        <f t="shared" si="1229"/>
        <v>309</v>
      </c>
      <c r="BE546" s="1132">
        <v>309</v>
      </c>
      <c r="BF546" s="1037">
        <v>309</v>
      </c>
      <c r="BG546" s="1037">
        <v>328</v>
      </c>
      <c r="BH546" s="1038">
        <v>340</v>
      </c>
      <c r="BI546" s="171">
        <f>BH546-BI467</f>
        <v>340</v>
      </c>
      <c r="BJ546" s="1133">
        <f t="shared" si="1230"/>
        <v>340</v>
      </c>
      <c r="BK546" s="171">
        <f>BJ546-BK467</f>
        <v>340</v>
      </c>
      <c r="BL546" s="171">
        <f>BK546-BL467</f>
        <v>340</v>
      </c>
      <c r="BM546" s="171">
        <f>BL546-BM467</f>
        <v>340</v>
      </c>
      <c r="BN546" s="171">
        <f>BM546-BN467</f>
        <v>340</v>
      </c>
      <c r="BO546" s="1133">
        <f t="shared" si="1232"/>
        <v>340</v>
      </c>
      <c r="BP546" s="1131">
        <f>BO546-BP467</f>
        <v>340</v>
      </c>
      <c r="BQ546" s="1131">
        <f>BP546-BQ467</f>
        <v>340</v>
      </c>
      <c r="BR546" s="1133">
        <f>BQ546-BR467</f>
        <v>340</v>
      </c>
      <c r="BS546" s="32"/>
    </row>
    <row r="547" spans="1:71" s="673" customFormat="1" ht="15">
      <c r="A547" s="114" t="s">
        <v>330</v>
      </c>
      <c r="B547" s="417"/>
      <c r="C547" s="1132">
        <v>0</v>
      </c>
      <c r="D547" s="1132">
        <v>2537</v>
      </c>
      <c r="E547" s="1132">
        <v>3058</v>
      </c>
      <c r="F547" s="1132">
        <v>3225</v>
      </c>
      <c r="G547" s="1132">
        <v>2888</v>
      </c>
      <c r="H547" s="1037">
        <v>2723</v>
      </c>
      <c r="I547" s="1037">
        <v>2799</v>
      </c>
      <c r="J547" s="1037">
        <v>2946</v>
      </c>
      <c r="K547" s="288">
        <f t="shared" si="1220"/>
        <v>3108</v>
      </c>
      <c r="L547" s="1132">
        <v>3108</v>
      </c>
      <c r="M547" s="1037">
        <v>3279</v>
      </c>
      <c r="N547" s="1037">
        <v>3629</v>
      </c>
      <c r="O547" s="1037">
        <v>3613</v>
      </c>
      <c r="P547" s="288">
        <f t="shared" si="1221"/>
        <v>4047</v>
      </c>
      <c r="Q547" s="1132">
        <v>4047</v>
      </c>
      <c r="R547" s="1037">
        <v>3906</v>
      </c>
      <c r="S547" s="1037">
        <v>4410</v>
      </c>
      <c r="T547" s="1037">
        <v>4312</v>
      </c>
      <c r="U547" s="288">
        <f t="shared" si="1222"/>
        <v>4765</v>
      </c>
      <c r="V547" s="1132">
        <v>4765</v>
      </c>
      <c r="W547" s="1037">
        <v>5331</v>
      </c>
      <c r="X547" s="1037">
        <v>4873</v>
      </c>
      <c r="Y547" s="1037">
        <v>4767</v>
      </c>
      <c r="Z547" s="288">
        <f t="shared" si="1223"/>
        <v>4902</v>
      </c>
      <c r="AA547" s="1132">
        <v>4902</v>
      </c>
      <c r="AB547" s="1037">
        <v>5090</v>
      </c>
      <c r="AC547" s="1037">
        <v>5032</v>
      </c>
      <c r="AD547" s="1037">
        <v>4998</v>
      </c>
      <c r="AE547" s="288">
        <f t="shared" si="1224"/>
        <v>4700</v>
      </c>
      <c r="AF547" s="1132">
        <v>4700</v>
      </c>
      <c r="AG547" s="1037">
        <v>4786</v>
      </c>
      <c r="AH547" s="1037">
        <v>4781</v>
      </c>
      <c r="AI547" s="1037">
        <v>4702</v>
      </c>
      <c r="AJ547" s="288">
        <f t="shared" si="1225"/>
        <v>4736</v>
      </c>
      <c r="AK547" s="1132">
        <v>4736</v>
      </c>
      <c r="AL547" s="1037">
        <v>4026</v>
      </c>
      <c r="AM547" s="1037">
        <v>4393</v>
      </c>
      <c r="AN547" s="1037">
        <v>4717</v>
      </c>
      <c r="AO547" s="288">
        <f t="shared" si="1226"/>
        <v>4971</v>
      </c>
      <c r="AP547" s="1132">
        <v>4971</v>
      </c>
      <c r="AQ547" s="1037">
        <v>5102</v>
      </c>
      <c r="AR547" s="1037">
        <v>5086</v>
      </c>
      <c r="AS547" s="1037">
        <v>5130</v>
      </c>
      <c r="AT547" s="288">
        <f t="shared" si="1227"/>
        <v>5296</v>
      </c>
      <c r="AU547" s="1132">
        <v>5296</v>
      </c>
      <c r="AV547" s="1037">
        <v>5231</v>
      </c>
      <c r="AW547" s="1037">
        <v>5218</v>
      </c>
      <c r="AX547" s="1037">
        <v>5099</v>
      </c>
      <c r="AY547" s="288">
        <f t="shared" si="1228"/>
        <v>5447</v>
      </c>
      <c r="AZ547" s="1132">
        <v>5447</v>
      </c>
      <c r="BA547" s="1037">
        <v>5391</v>
      </c>
      <c r="BB547" s="1037">
        <v>5235</v>
      </c>
      <c r="BC547" s="1037">
        <v>4871</v>
      </c>
      <c r="BD547" s="288">
        <f t="shared" si="1229"/>
        <v>4484</v>
      </c>
      <c r="BE547" s="1132">
        <v>4484</v>
      </c>
      <c r="BF547" s="1037">
        <v>4669</v>
      </c>
      <c r="BG547" s="1037">
        <v>4695</v>
      </c>
      <c r="BH547" s="1038">
        <v>4332</v>
      </c>
      <c r="BI547" s="171">
        <f t="shared" si="1234" ref="BI547:BI552">BH547</f>
        <v>4332</v>
      </c>
      <c r="BJ547" s="1133">
        <f t="shared" si="1230"/>
        <v>4332</v>
      </c>
      <c r="BK547" s="171">
        <f t="shared" si="1235" ref="BK547:BN552">BJ547</f>
        <v>4332</v>
      </c>
      <c r="BL547" s="171">
        <f t="shared" si="1235"/>
        <v>4332</v>
      </c>
      <c r="BM547" s="171">
        <f t="shared" si="1235"/>
        <v>4332</v>
      </c>
      <c r="BN547" s="171">
        <f t="shared" si="1235"/>
        <v>4332</v>
      </c>
      <c r="BO547" s="1133">
        <f t="shared" si="1232"/>
        <v>4332</v>
      </c>
      <c r="BP547" s="1131">
        <f t="shared" si="1236" ref="BP547:BR552">BO547</f>
        <v>4332</v>
      </c>
      <c r="BQ547" s="1131">
        <f t="shared" si="1236"/>
        <v>4332</v>
      </c>
      <c r="BR547" s="1133">
        <f t="shared" si="1236"/>
        <v>4332</v>
      </c>
      <c r="BS547" s="32"/>
    </row>
    <row r="548" spans="1:71" s="673" customFormat="1" ht="15">
      <c r="A548" s="114" t="s">
        <v>331</v>
      </c>
      <c r="B548" s="417"/>
      <c r="C548" s="1132">
        <v>774</v>
      </c>
      <c r="D548" s="1132">
        <v>674</v>
      </c>
      <c r="E548" s="1132">
        <v>895</v>
      </c>
      <c r="F548" s="1132">
        <v>539</v>
      </c>
      <c r="G548" s="1132">
        <v>854</v>
      </c>
      <c r="H548" s="1037">
        <v>524</v>
      </c>
      <c r="I548" s="1037">
        <v>527</v>
      </c>
      <c r="J548" s="1037">
        <v>1140</v>
      </c>
      <c r="K548" s="288">
        <f t="shared" si="1220"/>
        <v>910</v>
      </c>
      <c r="L548" s="1132">
        <v>910</v>
      </c>
      <c r="M548" s="1037">
        <v>641</v>
      </c>
      <c r="N548" s="1037">
        <v>660</v>
      </c>
      <c r="O548" s="1037">
        <v>1241</v>
      </c>
      <c r="P548" s="288">
        <f t="shared" si="1221"/>
        <v>820</v>
      </c>
      <c r="Q548" s="1132">
        <v>820</v>
      </c>
      <c r="R548" s="1037">
        <v>693</v>
      </c>
      <c r="S548" s="1037">
        <v>788</v>
      </c>
      <c r="T548" s="1037">
        <v>1391</v>
      </c>
      <c r="U548" s="288">
        <f t="shared" si="1222"/>
        <v>908</v>
      </c>
      <c r="V548" s="1132">
        <v>908</v>
      </c>
      <c r="W548" s="1037">
        <v>875</v>
      </c>
      <c r="X548" s="1037">
        <v>923</v>
      </c>
      <c r="Y548" s="1037">
        <v>1545</v>
      </c>
      <c r="Z548" s="288">
        <f t="shared" si="1223"/>
        <v>1030</v>
      </c>
      <c r="AA548" s="1132">
        <v>1030</v>
      </c>
      <c r="AB548" s="1037">
        <v>918</v>
      </c>
      <c r="AC548" s="1037">
        <v>1048</v>
      </c>
      <c r="AD548" s="1037">
        <v>1633</v>
      </c>
      <c r="AE548" s="288">
        <f t="shared" si="1224"/>
        <v>1090</v>
      </c>
      <c r="AF548" s="1132">
        <v>1090</v>
      </c>
      <c r="AG548" s="1037">
        <v>1011</v>
      </c>
      <c r="AH548" s="1037">
        <v>999</v>
      </c>
      <c r="AI548" s="1037">
        <v>1187</v>
      </c>
      <c r="AJ548" s="288">
        <f t="shared" si="1225"/>
        <v>975</v>
      </c>
      <c r="AK548" s="1132">
        <v>975</v>
      </c>
      <c r="AL548" s="1037">
        <v>981</v>
      </c>
      <c r="AM548" s="1037">
        <v>880</v>
      </c>
      <c r="AN548" s="1037">
        <v>1185</v>
      </c>
      <c r="AO548" s="288">
        <f t="shared" si="1226"/>
        <v>959</v>
      </c>
      <c r="AP548" s="1132">
        <v>959</v>
      </c>
      <c r="AQ548" s="1037">
        <v>576</v>
      </c>
      <c r="AR548" s="1037">
        <v>682</v>
      </c>
      <c r="AS548" s="1037">
        <v>1097</v>
      </c>
      <c r="AT548" s="288">
        <f t="shared" si="1227"/>
        <v>857</v>
      </c>
      <c r="AU548" s="1132">
        <v>857</v>
      </c>
      <c r="AV548" s="1037">
        <v>645</v>
      </c>
      <c r="AW548" s="1037">
        <v>740</v>
      </c>
      <c r="AX548" s="1037">
        <v>1328</v>
      </c>
      <c r="AY548" s="288">
        <f t="shared" si="1228"/>
        <v>886</v>
      </c>
      <c r="AZ548" s="1132">
        <v>886</v>
      </c>
      <c r="BA548" s="1037">
        <v>637</v>
      </c>
      <c r="BB548" s="1037">
        <v>721</v>
      </c>
      <c r="BC548" s="1037">
        <v>1377</v>
      </c>
      <c r="BD548" s="288">
        <f t="shared" si="1229"/>
        <v>1171</v>
      </c>
      <c r="BE548" s="1132">
        <v>1171</v>
      </c>
      <c r="BF548" s="1037">
        <v>958</v>
      </c>
      <c r="BG548" s="1037">
        <v>758</v>
      </c>
      <c r="BH548" s="1038">
        <v>1989</v>
      </c>
      <c r="BI548" s="171">
        <f t="shared" si="1234"/>
        <v>1989</v>
      </c>
      <c r="BJ548" s="1133">
        <f t="shared" si="1230"/>
        <v>1989</v>
      </c>
      <c r="BK548" s="171">
        <f t="shared" si="1235"/>
        <v>1989</v>
      </c>
      <c r="BL548" s="171">
        <f t="shared" si="1235"/>
        <v>1989</v>
      </c>
      <c r="BM548" s="171">
        <f t="shared" si="1235"/>
        <v>1989</v>
      </c>
      <c r="BN548" s="171">
        <f t="shared" si="1235"/>
        <v>1989</v>
      </c>
      <c r="BO548" s="1133">
        <f t="shared" si="1232"/>
        <v>1989</v>
      </c>
      <c r="BP548" s="1131">
        <f t="shared" si="1236"/>
        <v>1989</v>
      </c>
      <c r="BQ548" s="1131">
        <f t="shared" si="1236"/>
        <v>1989</v>
      </c>
      <c r="BR548" s="1133">
        <f t="shared" si="1236"/>
        <v>1989</v>
      </c>
      <c r="BS548" s="32"/>
    </row>
    <row r="549" spans="1:71" s="673" customFormat="1" ht="15">
      <c r="A549" s="114" t="s">
        <v>332</v>
      </c>
      <c r="B549" s="417"/>
      <c r="C549" s="1132">
        <v>549</v>
      </c>
      <c r="D549" s="1132">
        <v>616</v>
      </c>
      <c r="E549" s="1132">
        <v>548</v>
      </c>
      <c r="F549" s="1132">
        <v>580</v>
      </c>
      <c r="G549" s="1132">
        <v>665</v>
      </c>
      <c r="H549" s="1037">
        <v>666</v>
      </c>
      <c r="I549" s="1037">
        <v>681</v>
      </c>
      <c r="J549" s="1037">
        <v>649</v>
      </c>
      <c r="K549" s="288">
        <f t="shared" si="1220"/>
        <v>662</v>
      </c>
      <c r="L549" s="1132">
        <v>662</v>
      </c>
      <c r="M549" s="1037">
        <v>667</v>
      </c>
      <c r="N549" s="1037">
        <v>655</v>
      </c>
      <c r="O549" s="1037">
        <v>595</v>
      </c>
      <c r="P549" s="288">
        <f t="shared" si="1221"/>
        <v>608</v>
      </c>
      <c r="Q549" s="1132">
        <v>608</v>
      </c>
      <c r="R549" s="1037">
        <v>595</v>
      </c>
      <c r="S549" s="1037">
        <v>595</v>
      </c>
      <c r="T549" s="1037">
        <v>606</v>
      </c>
      <c r="U549" s="288">
        <f t="shared" si="1222"/>
        <v>600</v>
      </c>
      <c r="V549" s="1132">
        <v>600</v>
      </c>
      <c r="W549" s="1037">
        <v>614</v>
      </c>
      <c r="X549" s="1037">
        <v>620</v>
      </c>
      <c r="Y549" s="1037">
        <v>628</v>
      </c>
      <c r="Z549" s="288">
        <f t="shared" si="1223"/>
        <v>644</v>
      </c>
      <c r="AA549" s="1132">
        <v>644</v>
      </c>
      <c r="AB549" s="1037">
        <v>632</v>
      </c>
      <c r="AC549" s="1037">
        <v>636</v>
      </c>
      <c r="AD549" s="1037">
        <v>650</v>
      </c>
      <c r="AE549" s="288">
        <f t="shared" si="1224"/>
        <v>557</v>
      </c>
      <c r="AF549" s="1132">
        <v>557</v>
      </c>
      <c r="AG549" s="1037">
        <v>610</v>
      </c>
      <c r="AH549" s="1037">
        <v>616</v>
      </c>
      <c r="AI549" s="1037">
        <v>601</v>
      </c>
      <c r="AJ549" s="288">
        <f t="shared" si="1225"/>
        <v>628</v>
      </c>
      <c r="AK549" s="1132">
        <v>628</v>
      </c>
      <c r="AL549" s="1037">
        <v>497</v>
      </c>
      <c r="AM549" s="1037">
        <v>577</v>
      </c>
      <c r="AN549" s="1037">
        <v>603</v>
      </c>
      <c r="AO549" s="288">
        <f t="shared" si="1226"/>
        <v>664</v>
      </c>
      <c r="AP549" s="1132">
        <v>664</v>
      </c>
      <c r="AQ549" s="419"/>
      <c r="AR549" s="419"/>
      <c r="AS549" s="419"/>
      <c r="AT549" s="288">
        <f t="shared" si="1227"/>
        <v>0</v>
      </c>
      <c r="AU549" s="1131"/>
      <c r="AV549" s="419"/>
      <c r="AW549" s="419"/>
      <c r="AX549" s="419"/>
      <c r="AY549" s="288">
        <f t="shared" si="1228"/>
        <v>0</v>
      </c>
      <c r="AZ549" s="1131"/>
      <c r="BA549" s="419"/>
      <c r="BB549" s="419"/>
      <c r="BC549" s="419"/>
      <c r="BD549" s="288">
        <f t="shared" si="1229"/>
        <v>0</v>
      </c>
      <c r="BE549" s="1131"/>
      <c r="BF549" s="419"/>
      <c r="BG549" s="419"/>
      <c r="BH549" s="464"/>
      <c r="BI549" s="171">
        <f t="shared" si="1234"/>
        <v>0</v>
      </c>
      <c r="BJ549" s="1133">
        <f t="shared" si="1230"/>
        <v>0</v>
      </c>
      <c r="BK549" s="171">
        <f t="shared" si="1235"/>
        <v>0</v>
      </c>
      <c r="BL549" s="171">
        <f t="shared" si="1235"/>
        <v>0</v>
      </c>
      <c r="BM549" s="171">
        <f t="shared" si="1235"/>
        <v>0</v>
      </c>
      <c r="BN549" s="171">
        <f t="shared" si="1235"/>
        <v>0</v>
      </c>
      <c r="BO549" s="1133">
        <f t="shared" si="1232"/>
        <v>0</v>
      </c>
      <c r="BP549" s="1131">
        <f t="shared" si="1236"/>
        <v>0</v>
      </c>
      <c r="BQ549" s="1131">
        <f t="shared" si="1236"/>
        <v>0</v>
      </c>
      <c r="BR549" s="1133">
        <f t="shared" si="1236"/>
        <v>0</v>
      </c>
      <c r="BS549" s="32"/>
    </row>
    <row r="550" spans="1:71" s="673" customFormat="1" ht="15">
      <c r="A550" s="114" t="s">
        <v>267</v>
      </c>
      <c r="B550" s="417"/>
      <c r="C550" s="1132">
        <v>577</v>
      </c>
      <c r="D550" s="1132">
        <v>606</v>
      </c>
      <c r="E550" s="1132">
        <v>757</v>
      </c>
      <c r="F550" s="1132">
        <v>786</v>
      </c>
      <c r="G550" s="1132">
        <v>903</v>
      </c>
      <c r="H550" s="1037">
        <v>913</v>
      </c>
      <c r="I550" s="1037">
        <v>1001</v>
      </c>
      <c r="J550" s="1037">
        <v>985</v>
      </c>
      <c r="K550" s="288">
        <f t="shared" si="1220"/>
        <v>1027</v>
      </c>
      <c r="L550" s="1132">
        <v>1027</v>
      </c>
      <c r="M550" s="1037">
        <v>994</v>
      </c>
      <c r="N550" s="1037">
        <v>1137</v>
      </c>
      <c r="O550" s="1037">
        <v>1051</v>
      </c>
      <c r="P550" s="288">
        <f t="shared" si="1221"/>
        <v>1190</v>
      </c>
      <c r="Q550" s="1132">
        <v>1190</v>
      </c>
      <c r="R550" s="1037">
        <v>1181</v>
      </c>
      <c r="S550" s="1037">
        <v>1132</v>
      </c>
      <c r="T550" s="1037">
        <v>1188</v>
      </c>
      <c r="U550" s="288">
        <f t="shared" si="1222"/>
        <v>1655</v>
      </c>
      <c r="V550" s="1132">
        <v>1655</v>
      </c>
      <c r="W550" s="1037">
        <v>1633</v>
      </c>
      <c r="X550" s="1037">
        <v>1518</v>
      </c>
      <c r="Y550" s="1037">
        <v>1526</v>
      </c>
      <c r="Z550" s="288">
        <f t="shared" si="1223"/>
        <v>1504</v>
      </c>
      <c r="AA550" s="1132">
        <v>1504</v>
      </c>
      <c r="AB550" s="1037">
        <v>1551</v>
      </c>
      <c r="AC550" s="1037">
        <v>1574</v>
      </c>
      <c r="AD550" s="1037">
        <v>1832</v>
      </c>
      <c r="AE550" s="288">
        <f t="shared" si="1224"/>
        <v>1529</v>
      </c>
      <c r="AF550" s="1132">
        <v>1529</v>
      </c>
      <c r="AG550" s="1037">
        <v>1854</v>
      </c>
      <c r="AH550" s="1037">
        <v>1785</v>
      </c>
      <c r="AI550" s="1037">
        <v>1754</v>
      </c>
      <c r="AJ550" s="288">
        <f t="shared" si="1225"/>
        <v>1867</v>
      </c>
      <c r="AK550" s="1132">
        <v>1867</v>
      </c>
      <c r="AL550" s="1037">
        <v>1741</v>
      </c>
      <c r="AM550" s="1037">
        <v>1676</v>
      </c>
      <c r="AN550" s="1037">
        <v>1749</v>
      </c>
      <c r="AO550" s="288">
        <f t="shared" si="1226"/>
        <v>1626</v>
      </c>
      <c r="AP550" s="1132">
        <v>1626</v>
      </c>
      <c r="AQ550" s="1037">
        <v>865</v>
      </c>
      <c r="AR550" s="1037">
        <v>835</v>
      </c>
      <c r="AS550" s="1037">
        <v>847</v>
      </c>
      <c r="AT550" s="288">
        <f t="shared" si="1227"/>
        <v>922</v>
      </c>
      <c r="AU550" s="1132">
        <v>922</v>
      </c>
      <c r="AV550" s="1037">
        <v>966</v>
      </c>
      <c r="AW550" s="1037">
        <v>1123</v>
      </c>
      <c r="AX550" s="1037">
        <v>1259</v>
      </c>
      <c r="AY550" s="288">
        <f t="shared" si="1228"/>
        <v>1219</v>
      </c>
      <c r="AZ550" s="1132">
        <v>1219</v>
      </c>
      <c r="BA550" s="1037">
        <v>1153</v>
      </c>
      <c r="BB550" s="1037">
        <v>1281</v>
      </c>
      <c r="BC550" s="1037">
        <v>1422</v>
      </c>
      <c r="BD550" s="288">
        <f t="shared" si="1229"/>
        <v>1346</v>
      </c>
      <c r="BE550" s="1132">
        <v>1346</v>
      </c>
      <c r="BF550" s="1037">
        <v>1312</v>
      </c>
      <c r="BG550" s="1037">
        <v>1357</v>
      </c>
      <c r="BH550" s="1038">
        <v>1326</v>
      </c>
      <c r="BI550" s="171">
        <f t="shared" si="1234"/>
        <v>1326</v>
      </c>
      <c r="BJ550" s="1133">
        <f t="shared" si="1230"/>
        <v>1326</v>
      </c>
      <c r="BK550" s="171">
        <f t="shared" si="1235"/>
        <v>1326</v>
      </c>
      <c r="BL550" s="171">
        <f t="shared" si="1235"/>
        <v>1326</v>
      </c>
      <c r="BM550" s="171">
        <f t="shared" si="1235"/>
        <v>1326</v>
      </c>
      <c r="BN550" s="171">
        <f t="shared" si="1235"/>
        <v>1326</v>
      </c>
      <c r="BO550" s="1133">
        <f t="shared" si="1232"/>
        <v>1326</v>
      </c>
      <c r="BP550" s="1131">
        <f t="shared" si="1236"/>
        <v>1326</v>
      </c>
      <c r="BQ550" s="1131">
        <f t="shared" si="1236"/>
        <v>1326</v>
      </c>
      <c r="BR550" s="1133">
        <f t="shared" si="1236"/>
        <v>1326</v>
      </c>
      <c r="BS550" s="32"/>
    </row>
    <row r="551" spans="1:71" s="673" customFormat="1" ht="15">
      <c r="A551" s="599" t="s">
        <v>241</v>
      </c>
      <c r="B551" s="510"/>
      <c r="C551" s="1132">
        <v>208</v>
      </c>
      <c r="D551" s="1132">
        <v>186</v>
      </c>
      <c r="E551" s="1132">
        <v>186</v>
      </c>
      <c r="F551" s="1132">
        <v>185</v>
      </c>
      <c r="G551" s="1132">
        <v>185</v>
      </c>
      <c r="H551" s="1037">
        <v>185</v>
      </c>
      <c r="I551" s="1037">
        <v>200</v>
      </c>
      <c r="J551" s="1037">
        <v>201</v>
      </c>
      <c r="K551" s="288">
        <f t="shared" si="1220"/>
        <v>201</v>
      </c>
      <c r="L551" s="1132">
        <v>201</v>
      </c>
      <c r="M551" s="1037">
        <v>201</v>
      </c>
      <c r="N551" s="1037">
        <v>201</v>
      </c>
      <c r="O551" s="1037">
        <v>201</v>
      </c>
      <c r="P551" s="288">
        <f t="shared" si="1221"/>
        <v>199</v>
      </c>
      <c r="Q551" s="1132">
        <v>199</v>
      </c>
      <c r="R551" s="1037">
        <v>199</v>
      </c>
      <c r="S551" s="1037">
        <v>199</v>
      </c>
      <c r="T551" s="1037">
        <v>199</v>
      </c>
      <c r="U551" s="288">
        <f t="shared" si="1222"/>
        <v>199</v>
      </c>
      <c r="V551" s="1132">
        <v>199</v>
      </c>
      <c r="W551" s="1037">
        <v>199</v>
      </c>
      <c r="X551" s="1037">
        <v>199</v>
      </c>
      <c r="Y551" s="1037">
        <v>199</v>
      </c>
      <c r="Z551" s="288">
        <f t="shared" si="1223"/>
        <v>199</v>
      </c>
      <c r="AA551" s="1132">
        <v>199</v>
      </c>
      <c r="AB551" s="1037">
        <v>199</v>
      </c>
      <c r="AC551" s="1037">
        <v>199</v>
      </c>
      <c r="AD551" s="1037">
        <v>199</v>
      </c>
      <c r="AE551" s="288">
        <f t="shared" si="1224"/>
        <v>207</v>
      </c>
      <c r="AF551" s="1132">
        <v>207</v>
      </c>
      <c r="AG551" s="1037">
        <v>207</v>
      </c>
      <c r="AH551" s="1037">
        <v>207</v>
      </c>
      <c r="AI551" s="1037">
        <v>207</v>
      </c>
      <c r="AJ551" s="288">
        <f t="shared" si="1225"/>
        <v>207</v>
      </c>
      <c r="AK551" s="1132">
        <v>207</v>
      </c>
      <c r="AL551" s="1037">
        <v>207</v>
      </c>
      <c r="AM551" s="1037">
        <v>207</v>
      </c>
      <c r="AN551" s="1037">
        <v>207</v>
      </c>
      <c r="AO551" s="288">
        <f t="shared" si="1226"/>
        <v>207</v>
      </c>
      <c r="AP551" s="1132">
        <v>207</v>
      </c>
      <c r="AQ551" s="1037">
        <v>176</v>
      </c>
      <c r="AR551" s="1037">
        <v>176</v>
      </c>
      <c r="AS551" s="1037">
        <v>176</v>
      </c>
      <c r="AT551" s="288">
        <f t="shared" si="1227"/>
        <v>234</v>
      </c>
      <c r="AU551" s="1132">
        <v>234</v>
      </c>
      <c r="AV551" s="1037">
        <v>246</v>
      </c>
      <c r="AW551" s="1037">
        <v>246</v>
      </c>
      <c r="AX551" s="1037">
        <v>246</v>
      </c>
      <c r="AY551" s="288">
        <f t="shared" si="1228"/>
        <v>246</v>
      </c>
      <c r="AZ551" s="1132">
        <v>246</v>
      </c>
      <c r="BA551" s="1037">
        <v>246</v>
      </c>
      <c r="BB551" s="1037">
        <v>246</v>
      </c>
      <c r="BC551" s="1037">
        <v>305</v>
      </c>
      <c r="BD551" s="288">
        <f t="shared" si="1229"/>
        <v>305</v>
      </c>
      <c r="BE551" s="1132">
        <v>305</v>
      </c>
      <c r="BF551" s="1037">
        <v>305</v>
      </c>
      <c r="BG551" s="1037">
        <v>305</v>
      </c>
      <c r="BH551" s="1038">
        <v>305</v>
      </c>
      <c r="BI551" s="419">
        <f t="shared" si="1234"/>
        <v>305</v>
      </c>
      <c r="BJ551" s="1131">
        <f t="shared" si="1230"/>
        <v>305</v>
      </c>
      <c r="BK551" s="419">
        <f t="shared" si="1235"/>
        <v>305</v>
      </c>
      <c r="BL551" s="419">
        <f t="shared" si="1235"/>
        <v>305</v>
      </c>
      <c r="BM551" s="419">
        <f t="shared" si="1235"/>
        <v>305</v>
      </c>
      <c r="BN551" s="419">
        <f t="shared" si="1235"/>
        <v>305</v>
      </c>
      <c r="BO551" s="1131">
        <f t="shared" si="1232"/>
        <v>305</v>
      </c>
      <c r="BP551" s="1131">
        <f t="shared" si="1236"/>
        <v>305</v>
      </c>
      <c r="BQ551" s="1131">
        <f t="shared" si="1236"/>
        <v>305</v>
      </c>
      <c r="BR551" s="1131">
        <f t="shared" si="1236"/>
        <v>305</v>
      </c>
      <c r="BS551" s="32"/>
    </row>
    <row r="552" spans="1:71" s="673" customFormat="1" ht="15">
      <c r="A552" s="115" t="s">
        <v>527</v>
      </c>
      <c r="B552" s="511"/>
      <c r="C552" s="1134"/>
      <c r="D552" s="1134"/>
      <c r="E552" s="1134"/>
      <c r="F552" s="1134"/>
      <c r="G552" s="1134"/>
      <c r="H552" s="363"/>
      <c r="I552" s="363"/>
      <c r="J552" s="363"/>
      <c r="K552" s="363"/>
      <c r="L552" s="1134"/>
      <c r="M552" s="363"/>
      <c r="N552" s="363"/>
      <c r="O552" s="363"/>
      <c r="P552" s="363"/>
      <c r="Q552" s="1134"/>
      <c r="R552" s="363"/>
      <c r="S552" s="363"/>
      <c r="T552" s="363"/>
      <c r="U552" s="363"/>
      <c r="V552" s="1134"/>
      <c r="W552" s="363"/>
      <c r="X552" s="363"/>
      <c r="Y552" s="363"/>
      <c r="Z552" s="363"/>
      <c r="AA552" s="1134"/>
      <c r="AB552" s="363"/>
      <c r="AC552" s="363"/>
      <c r="AD552" s="363"/>
      <c r="AE552" s="363"/>
      <c r="AF552" s="1134"/>
      <c r="AG552" s="363"/>
      <c r="AH552" s="363"/>
      <c r="AI552" s="363"/>
      <c r="AJ552" s="363"/>
      <c r="AK552" s="1134"/>
      <c r="AL552" s="363"/>
      <c r="AM552" s="363"/>
      <c r="AN552" s="363"/>
      <c r="AO552" s="363"/>
      <c r="AP552" s="1134"/>
      <c r="AQ552" s="39">
        <f>48139-AQ532</f>
        <v>47503</v>
      </c>
      <c r="AR552" s="363"/>
      <c r="AS552" s="363"/>
      <c r="AT552" s="363"/>
      <c r="AU552" s="1134"/>
      <c r="AV552" s="363"/>
      <c r="AW552" s="363"/>
      <c r="AX552" s="363"/>
      <c r="AY552" s="363"/>
      <c r="AZ552" s="1134"/>
      <c r="BA552" s="363"/>
      <c r="BB552" s="363"/>
      <c r="BC552" s="363"/>
      <c r="BD552" s="419"/>
      <c r="BE552" s="1134"/>
      <c r="BF552" s="363"/>
      <c r="BG552" s="363"/>
      <c r="BH552" s="773"/>
      <c r="BI552" s="363">
        <f t="shared" si="1234"/>
        <v>0</v>
      </c>
      <c r="BJ552" s="1134">
        <f t="shared" si="1230"/>
        <v>0</v>
      </c>
      <c r="BK552" s="363">
        <f t="shared" si="1235"/>
        <v>0</v>
      </c>
      <c r="BL552" s="363">
        <f t="shared" si="1235"/>
        <v>0</v>
      </c>
      <c r="BM552" s="363">
        <f t="shared" si="1235"/>
        <v>0</v>
      </c>
      <c r="BN552" s="363">
        <f t="shared" si="1235"/>
        <v>0</v>
      </c>
      <c r="BO552" s="1134">
        <f t="shared" si="1232"/>
        <v>0</v>
      </c>
      <c r="BP552" s="1134">
        <f t="shared" si="1236"/>
        <v>0</v>
      </c>
      <c r="BQ552" s="1134">
        <f t="shared" si="1236"/>
        <v>0</v>
      </c>
      <c r="BR552" s="1134">
        <f t="shared" si="1236"/>
        <v>0</v>
      </c>
      <c r="BS552" s="32"/>
    </row>
    <row r="553" spans="1:71" s="674" customFormat="1" ht="15">
      <c r="A553" s="100" t="s">
        <v>333</v>
      </c>
      <c r="B553" s="516"/>
      <c r="C553" s="1138">
        <f t="shared" si="1237" ref="C553:AP553">SUM(C542:C552)</f>
        <v>27683</v>
      </c>
      <c r="D553" s="1138">
        <f t="shared" si="1237"/>
        <v>32241</v>
      </c>
      <c r="E553" s="1138">
        <f t="shared" si="1237"/>
        <v>35838</v>
      </c>
      <c r="F553" s="1138">
        <f t="shared" si="1237"/>
        <v>39171</v>
      </c>
      <c r="G553" s="1138">
        <f t="shared" si="1237"/>
        <v>42087</v>
      </c>
      <c r="H553" s="96">
        <f t="shared" si="1237"/>
        <v>42770</v>
      </c>
      <c r="I553" s="96">
        <f t="shared" si="1237"/>
        <v>45355</v>
      </c>
      <c r="J553" s="96">
        <f t="shared" si="1237"/>
        <v>46552</v>
      </c>
      <c r="K553" s="96">
        <f t="shared" si="1237"/>
        <v>47535</v>
      </c>
      <c r="L553" s="1138">
        <f t="shared" si="1237"/>
        <v>47535</v>
      </c>
      <c r="M553" s="96">
        <f t="shared" si="1237"/>
        <v>48307</v>
      </c>
      <c r="N553" s="96">
        <f t="shared" si="1237"/>
        <v>49424</v>
      </c>
      <c r="O553" s="96">
        <f t="shared" si="1237"/>
        <v>50557</v>
      </c>
      <c r="P553" s="96">
        <f t="shared" si="1237"/>
        <v>49837</v>
      </c>
      <c r="Q553" s="1138">
        <f t="shared" si="1237"/>
        <v>49837</v>
      </c>
      <c r="R553" s="96">
        <f t="shared" si="1237"/>
        <v>51038</v>
      </c>
      <c r="S553" s="96">
        <f t="shared" si="1237"/>
        <v>52733</v>
      </c>
      <c r="T553" s="96">
        <f t="shared" si="1237"/>
        <v>54845</v>
      </c>
      <c r="U553" s="96">
        <f t="shared" si="1237"/>
        <v>55072</v>
      </c>
      <c r="V553" s="1138">
        <f t="shared" si="1237"/>
        <v>55072</v>
      </c>
      <c r="W553" s="96">
        <f t="shared" si="1237"/>
        <v>57464</v>
      </c>
      <c r="X553" s="96">
        <f t="shared" si="1237"/>
        <v>58618</v>
      </c>
      <c r="Y553" s="96">
        <f t="shared" si="1237"/>
        <v>60163</v>
      </c>
      <c r="Z553" s="96">
        <f t="shared" si="1237"/>
        <v>60658</v>
      </c>
      <c r="AA553" s="1138">
        <f t="shared" si="1237"/>
        <v>60658</v>
      </c>
      <c r="AB553" s="96">
        <f t="shared" si="1237"/>
        <v>60656</v>
      </c>
      <c r="AC553" s="96">
        <f t="shared" si="1237"/>
        <v>61834</v>
      </c>
      <c r="AD553" s="96">
        <f t="shared" si="1237"/>
        <v>64190</v>
      </c>
      <c r="AE553" s="96">
        <f t="shared" si="1237"/>
        <v>63456</v>
      </c>
      <c r="AF553" s="1138">
        <f t="shared" si="1237"/>
        <v>63456</v>
      </c>
      <c r="AG553" s="96">
        <f t="shared" si="1237"/>
        <v>66132</v>
      </c>
      <c r="AH553" s="96">
        <f t="shared" si="1237"/>
        <v>67697</v>
      </c>
      <c r="AI553" s="96">
        <f t="shared" si="1237"/>
        <v>69067</v>
      </c>
      <c r="AJ553" s="96">
        <f t="shared" si="1237"/>
        <v>70130</v>
      </c>
      <c r="AK553" s="1138">
        <f t="shared" si="1237"/>
        <v>70130</v>
      </c>
      <c r="AL553" s="96">
        <f t="shared" si="1237"/>
        <v>67643</v>
      </c>
      <c r="AM553" s="96">
        <f t="shared" si="1237"/>
        <v>70867</v>
      </c>
      <c r="AN553" s="96">
        <f t="shared" si="1237"/>
        <v>73110</v>
      </c>
      <c r="AO553" s="96">
        <f t="shared" si="1237"/>
        <v>73566</v>
      </c>
      <c r="AP553" s="1138">
        <f t="shared" si="1237"/>
        <v>73566</v>
      </c>
      <c r="AQ553" s="96">
        <f t="shared" si="1238" ref="AQ553:AV553">SUM(AQ542:AQ552)</f>
        <v>74197</v>
      </c>
      <c r="AR553" s="96">
        <f t="shared" si="1238"/>
        <v>28780</v>
      </c>
      <c r="AS553" s="96">
        <f t="shared" si="1238"/>
        <v>29942</v>
      </c>
      <c r="AT553" s="96">
        <f t="shared" si="1238"/>
        <v>28939</v>
      </c>
      <c r="AU553" s="1138">
        <f t="shared" si="1238"/>
        <v>28939</v>
      </c>
      <c r="AV553" s="96">
        <f t="shared" si="1238"/>
        <v>28762</v>
      </c>
      <c r="AW553" s="96">
        <f t="shared" si="1239" ref="AW553:BJ553">SUM(AW542:AW552)</f>
        <v>28084</v>
      </c>
      <c r="AX553" s="96">
        <f t="shared" si="1239"/>
        <v>29532</v>
      </c>
      <c r="AY553" s="96">
        <f t="shared" si="1239"/>
        <v>28831</v>
      </c>
      <c r="AZ553" s="1138">
        <f t="shared" si="1239"/>
        <v>28831</v>
      </c>
      <c r="BA553" s="96">
        <f t="shared" si="1240" ref="BA553:BI553">SUM(BA542:BA552)</f>
        <v>28481</v>
      </c>
      <c r="BB553" s="96">
        <f t="shared" si="1240"/>
        <v>29048</v>
      </c>
      <c r="BC553" s="96">
        <f t="shared" si="1240"/>
        <v>30825</v>
      </c>
      <c r="BD553" s="96">
        <f t="shared" si="1240"/>
        <v>29787</v>
      </c>
      <c r="BE553" s="1138">
        <f t="shared" si="1240"/>
        <v>29787</v>
      </c>
      <c r="BF553" s="96">
        <f>SUM(BF542:BF552)</f>
        <v>30001</v>
      </c>
      <c r="BG553" s="96">
        <f>SUM(BG542:BG552)</f>
        <v>29913</v>
      </c>
      <c r="BH553" s="874">
        <f>SUM(BH542:BH552)</f>
        <v>32591</v>
      </c>
      <c r="BI553" s="596">
        <f t="shared" ca="1" si="1240"/>
        <v>32867.538981249178</v>
      </c>
      <c r="BJ553" s="1139">
        <f t="shared" ca="1" si="1239"/>
        <v>32867.538981249178</v>
      </c>
      <c r="BK553" s="596">
        <f ca="1" t="shared" si="1241" ref="BK553:BR553">SUM(BK542:BK552)</f>
        <v>33514.87275319863</v>
      </c>
      <c r="BL553" s="596">
        <f t="shared" ca="1" si="1241"/>
        <v>34208.12939281945</v>
      </c>
      <c r="BM553" s="596">
        <f t="shared" ca="1" si="1241"/>
        <v>35138.947826446718</v>
      </c>
      <c r="BN553" s="596">
        <f t="shared" ca="1" si="1241"/>
        <v>35868.217075682522</v>
      </c>
      <c r="BO553" s="1139">
        <f t="shared" ca="1" si="1241"/>
        <v>35868.217075682522</v>
      </c>
      <c r="BP553" s="1139">
        <f t="shared" ca="1" si="1241"/>
        <v>39048.181696882122</v>
      </c>
      <c r="BQ553" s="1139">
        <f t="shared" ca="1" si="1241"/>
        <v>42752.558486487615</v>
      </c>
      <c r="BR553" s="1139">
        <f t="shared" ca="1" si="1241"/>
        <v>46635.62475388054</v>
      </c>
      <c r="BS553" s="37"/>
    </row>
    <row r="554" spans="1:71" s="674" customFormat="1" ht="15">
      <c r="A554" s="485"/>
      <c r="B554" s="509"/>
      <c r="C554" s="1147"/>
      <c r="D554" s="1147"/>
      <c r="E554" s="1147"/>
      <c r="F554" s="1147"/>
      <c r="G554" s="1147"/>
      <c r="H554" s="426"/>
      <c r="I554" s="426"/>
      <c r="J554" s="426"/>
      <c r="K554" s="426"/>
      <c r="L554" s="1147"/>
      <c r="M554" s="426"/>
      <c r="N554" s="426"/>
      <c r="O554" s="426"/>
      <c r="P554" s="426"/>
      <c r="Q554" s="1147"/>
      <c r="R554" s="426"/>
      <c r="S554" s="426"/>
      <c r="T554" s="426"/>
      <c r="U554" s="426"/>
      <c r="V554" s="1147"/>
      <c r="W554" s="426"/>
      <c r="X554" s="426"/>
      <c r="Y554" s="426"/>
      <c r="Z554" s="426"/>
      <c r="AA554" s="1147"/>
      <c r="AB554" s="426"/>
      <c r="AC554" s="426"/>
      <c r="AD554" s="426"/>
      <c r="AE554" s="426"/>
      <c r="AF554" s="1147"/>
      <c r="AG554" s="426"/>
      <c r="AH554" s="426"/>
      <c r="AI554" s="426"/>
      <c r="AJ554" s="426"/>
      <c r="AK554" s="1147"/>
      <c r="AL554" s="426"/>
      <c r="AM554" s="426"/>
      <c r="AN554" s="426"/>
      <c r="AO554" s="426"/>
      <c r="AP554" s="1147"/>
      <c r="AQ554" s="426"/>
      <c r="AR554" s="426"/>
      <c r="AS554" s="426"/>
      <c r="AT554" s="426"/>
      <c r="AU554" s="1147"/>
      <c r="AV554" s="426"/>
      <c r="AW554" s="426"/>
      <c r="AX554" s="426"/>
      <c r="AY554" s="426"/>
      <c r="AZ554" s="1147"/>
      <c r="BA554" s="426"/>
      <c r="BB554" s="426"/>
      <c r="BC554" s="426"/>
      <c r="BD554" s="426"/>
      <c r="BE554" s="1147"/>
      <c r="BF554" s="426"/>
      <c r="BG554" s="426"/>
      <c r="BH554" s="487"/>
      <c r="BI554" s="159"/>
      <c r="BJ554" s="1148"/>
      <c r="BK554" s="159"/>
      <c r="BL554" s="159"/>
      <c r="BM554" s="159"/>
      <c r="BN554" s="159"/>
      <c r="BO554" s="1148"/>
      <c r="BP554" s="1147"/>
      <c r="BQ554" s="1147"/>
      <c r="BR554" s="1148"/>
      <c r="BS554" s="37"/>
    </row>
    <row r="555" spans="1:71" s="674" customFormat="1" ht="15">
      <c r="A555" s="101" t="s">
        <v>334</v>
      </c>
      <c r="B555" s="509"/>
      <c r="C555" s="1147"/>
      <c r="D555" s="1147"/>
      <c r="E555" s="1147"/>
      <c r="F555" s="1147"/>
      <c r="G555" s="1147"/>
      <c r="H555" s="426"/>
      <c r="I555" s="426"/>
      <c r="J555" s="426"/>
      <c r="K555" s="426"/>
      <c r="L555" s="1147"/>
      <c r="M555" s="426"/>
      <c r="N555" s="426"/>
      <c r="O555" s="426"/>
      <c r="P555" s="426"/>
      <c r="Q555" s="1147"/>
      <c r="R555" s="426"/>
      <c r="S555" s="426"/>
      <c r="T555" s="426"/>
      <c r="U555" s="426"/>
      <c r="V555" s="1147"/>
      <c r="W555" s="426"/>
      <c r="X555" s="426"/>
      <c r="Y555" s="426"/>
      <c r="Z555" s="426"/>
      <c r="AA555" s="1147"/>
      <c r="AB555" s="426"/>
      <c r="AC555" s="426"/>
      <c r="AD555" s="426"/>
      <c r="AE555" s="426"/>
      <c r="AF555" s="1147"/>
      <c r="AG555" s="426"/>
      <c r="AH555" s="426"/>
      <c r="AI555" s="426"/>
      <c r="AJ555" s="426"/>
      <c r="AK555" s="1147"/>
      <c r="AL555" s="426"/>
      <c r="AM555" s="426"/>
      <c r="AN555" s="426"/>
      <c r="AO555" s="426"/>
      <c r="AP555" s="1147"/>
      <c r="AQ555" s="426"/>
      <c r="AR555" s="426"/>
      <c r="AS555" s="426"/>
      <c r="AT555" s="426"/>
      <c r="AU555" s="1147"/>
      <c r="AV555" s="426"/>
      <c r="AW555" s="426"/>
      <c r="AX555" s="426"/>
      <c r="AY555" s="426"/>
      <c r="AZ555" s="1147"/>
      <c r="BA555" s="426"/>
      <c r="BB555" s="426"/>
      <c r="BC555" s="426"/>
      <c r="BD555" s="426"/>
      <c r="BE555" s="1147"/>
      <c r="BF555" s="426"/>
      <c r="BG555" s="426"/>
      <c r="BH555" s="487"/>
      <c r="BI555" s="159"/>
      <c r="BJ555" s="1148"/>
      <c r="BK555" s="159"/>
      <c r="BL555" s="159"/>
      <c r="BM555" s="159"/>
      <c r="BN555" s="159"/>
      <c r="BO555" s="1148"/>
      <c r="BP555" s="1147"/>
      <c r="BQ555" s="1147"/>
      <c r="BR555" s="1148"/>
      <c r="BS555" s="37"/>
    </row>
    <row r="556" spans="1:71" s="673" customFormat="1" ht="15">
      <c r="A556" s="114" t="s">
        <v>335</v>
      </c>
      <c r="B556" s="417"/>
      <c r="C556" s="1132">
        <v>6412</v>
      </c>
      <c r="D556" s="1132">
        <v>6413</v>
      </c>
      <c r="E556" s="1132">
        <v>6520</v>
      </c>
      <c r="F556" s="1132">
        <v>6845</v>
      </c>
      <c r="G556" s="1132">
        <v>6410</v>
      </c>
      <c r="H556" s="1037">
        <v>6134</v>
      </c>
      <c r="I556" s="1037">
        <v>7370</v>
      </c>
      <c r="J556" s="1037">
        <v>7645</v>
      </c>
      <c r="K556" s="288">
        <f t="shared" si="1242" ref="K556:K563">L556</f>
        <v>7872</v>
      </c>
      <c r="L556" s="1132">
        <v>7872</v>
      </c>
      <c r="M556" s="1037">
        <v>7636</v>
      </c>
      <c r="N556" s="1037">
        <v>7744</v>
      </c>
      <c r="O556" s="1037">
        <v>8061</v>
      </c>
      <c r="P556" s="288">
        <f t="shared" si="1243" ref="P556:P563">Q556</f>
        <v>8127</v>
      </c>
      <c r="Q556" s="1132">
        <v>8127</v>
      </c>
      <c r="R556" s="1037">
        <v>8108</v>
      </c>
      <c r="S556" s="1037">
        <v>8203</v>
      </c>
      <c r="T556" s="1037">
        <v>8661</v>
      </c>
      <c r="U556" s="288">
        <f t="shared" si="1244" ref="U556:U563">V556</f>
        <v>8563</v>
      </c>
      <c r="V556" s="1132">
        <v>8563</v>
      </c>
      <c r="W556" s="1037">
        <v>8621</v>
      </c>
      <c r="X556" s="1037">
        <v>8730</v>
      </c>
      <c r="Y556" s="1037">
        <v>9563</v>
      </c>
      <c r="Z556" s="288">
        <f t="shared" si="1245" ref="Z556:Z566">AA556</f>
        <v>9678</v>
      </c>
      <c r="AA556" s="1132">
        <v>9678</v>
      </c>
      <c r="AB556" s="1037">
        <v>9193</v>
      </c>
      <c r="AC556" s="1037">
        <v>9093</v>
      </c>
      <c r="AD556" s="1037">
        <v>9670</v>
      </c>
      <c r="AE556" s="288">
        <f t="shared" si="1246" ref="AE556:AE566">AF556</f>
        <v>9741</v>
      </c>
      <c r="AF556" s="1132">
        <v>9741</v>
      </c>
      <c r="AG556" s="1037">
        <v>9623</v>
      </c>
      <c r="AH556" s="1037">
        <v>9577</v>
      </c>
      <c r="AI556" s="1037">
        <v>9847</v>
      </c>
      <c r="AJ556" s="288">
        <f t="shared" si="1247" ref="AJ556:AJ566">AK556</f>
        <v>10232</v>
      </c>
      <c r="AK556" s="1132">
        <v>10232</v>
      </c>
      <c r="AL556" s="1037">
        <v>10106</v>
      </c>
      <c r="AM556" s="1037">
        <v>10321</v>
      </c>
      <c r="AN556" s="1037">
        <v>10754</v>
      </c>
      <c r="AO556" s="288">
        <f t="shared" si="1248" ref="AO556:AO566">AP556</f>
        <v>10392</v>
      </c>
      <c r="AP556" s="1132">
        <v>10392</v>
      </c>
      <c r="AQ556" s="1037">
        <v>10384</v>
      </c>
      <c r="AR556" s="1037">
        <v>10498</v>
      </c>
      <c r="AS556" s="1037">
        <v>10991</v>
      </c>
      <c r="AT556" s="288">
        <f t="shared" si="1249" ref="AT556:AT566">AU556</f>
        <v>11074</v>
      </c>
      <c r="AU556" s="1132">
        <v>11074</v>
      </c>
      <c r="AV556" s="1037">
        <v>10986</v>
      </c>
      <c r="AW556" s="1037">
        <v>11201</v>
      </c>
      <c r="AX556" s="1037">
        <v>12067</v>
      </c>
      <c r="AY556" s="288">
        <f t="shared" si="1250" ref="AY556:AY566">AZ556</f>
        <v>11974</v>
      </c>
      <c r="AZ556" s="1132">
        <v>11974</v>
      </c>
      <c r="BA556" s="1037">
        <v>11761</v>
      </c>
      <c r="BB556" s="1037">
        <v>11925</v>
      </c>
      <c r="BC556" s="1037">
        <v>12891</v>
      </c>
      <c r="BD556" s="288">
        <f t="shared" si="1251" ref="BD556:BD566">BE556</f>
        <v>13087</v>
      </c>
      <c r="BE556" s="1132">
        <v>13087</v>
      </c>
      <c r="BF556" s="1037">
        <v>13050</v>
      </c>
      <c r="BG556" s="1037">
        <v>12607</v>
      </c>
      <c r="BH556" s="1038">
        <v>14206</v>
      </c>
      <c r="BI556" s="171">
        <f>BH556+BI471</f>
        <v>14319.684507</v>
      </c>
      <c r="BJ556" s="1133">
        <f t="shared" si="1252" ref="BJ556:BJ567">BI556</f>
        <v>14319.684507</v>
      </c>
      <c r="BK556" s="171">
        <f>BJ556+BK471</f>
        <v>14424.343661999999</v>
      </c>
      <c r="BL556" s="171">
        <f>BK556+BL471</f>
        <v>14544.057510000001</v>
      </c>
      <c r="BM556" s="171">
        <f>BL556+BM471</f>
        <v>14693.234928</v>
      </c>
      <c r="BN556" s="171">
        <f>BM556+BN471</f>
        <v>14803.720742</v>
      </c>
      <c r="BO556" s="1133">
        <f t="shared" si="1253" ref="BO556:BO567">BN556</f>
        <v>14803.720742</v>
      </c>
      <c r="BP556" s="1131">
        <f>BO556+BP471</f>
        <v>15356.192145000001</v>
      </c>
      <c r="BQ556" s="1131">
        <f>BP556+BQ471</f>
        <v>15984.443491</v>
      </c>
      <c r="BR556" s="1133">
        <f>BQ556+BR471</f>
        <v>16645.859308999999</v>
      </c>
      <c r="BS556" s="32"/>
    </row>
    <row r="557" spans="1:71" s="673" customFormat="1" ht="15">
      <c r="A557" s="114" t="s">
        <v>336</v>
      </c>
      <c r="B557" s="417"/>
      <c r="C557" s="1132">
        <v>1568</v>
      </c>
      <c r="D557" s="1132">
        <v>1534</v>
      </c>
      <c r="E557" s="1132">
        <v>1484</v>
      </c>
      <c r="F557" s="1132">
        <v>1651</v>
      </c>
      <c r="G557" s="1132">
        <v>1757</v>
      </c>
      <c r="H557" s="1037">
        <v>1788</v>
      </c>
      <c r="I557" s="1037">
        <v>1911</v>
      </c>
      <c r="J557" s="1037">
        <v>2114</v>
      </c>
      <c r="K557" s="288">
        <f t="shared" si="1242"/>
        <v>1956</v>
      </c>
      <c r="L557" s="1132">
        <v>1956</v>
      </c>
      <c r="M557" s="1037">
        <v>1936</v>
      </c>
      <c r="N557" s="1037">
        <v>2004</v>
      </c>
      <c r="O557" s="1037">
        <v>2238</v>
      </c>
      <c r="P557" s="288">
        <f t="shared" si="1243"/>
        <v>2060</v>
      </c>
      <c r="Q557" s="1132">
        <v>2060</v>
      </c>
      <c r="R557" s="1037">
        <v>2051</v>
      </c>
      <c r="S557" s="1037">
        <v>2109</v>
      </c>
      <c r="T557" s="1037">
        <v>2328</v>
      </c>
      <c r="U557" s="288">
        <f t="shared" si="1244"/>
        <v>2171</v>
      </c>
      <c r="V557" s="1132">
        <v>2171</v>
      </c>
      <c r="W557" s="1037">
        <v>2174</v>
      </c>
      <c r="X557" s="1037">
        <v>2294</v>
      </c>
      <c r="Y557" s="1037">
        <v>2567</v>
      </c>
      <c r="Z557" s="288">
        <f t="shared" si="1245"/>
        <v>2410</v>
      </c>
      <c r="AA557" s="1132">
        <v>2410</v>
      </c>
      <c r="AB557" s="1037">
        <v>2413</v>
      </c>
      <c r="AC557" s="1037">
        <v>2539</v>
      </c>
      <c r="AD557" s="1037">
        <v>2740</v>
      </c>
      <c r="AE557" s="288">
        <f t="shared" si="1246"/>
        <v>2595</v>
      </c>
      <c r="AF557" s="1132">
        <v>2595</v>
      </c>
      <c r="AG557" s="1037">
        <v>2605</v>
      </c>
      <c r="AH557" s="1037">
        <v>2683</v>
      </c>
      <c r="AI557" s="1037">
        <v>2986</v>
      </c>
      <c r="AJ557" s="288">
        <f t="shared" si="1247"/>
        <v>2830</v>
      </c>
      <c r="AK557" s="1132">
        <v>2830</v>
      </c>
      <c r="AL557" s="1037">
        <v>2808</v>
      </c>
      <c r="AM557" s="1037">
        <v>2778</v>
      </c>
      <c r="AN557" s="1037">
        <v>3015</v>
      </c>
      <c r="AO557" s="288">
        <f t="shared" si="1248"/>
        <v>2803</v>
      </c>
      <c r="AP557" s="1132">
        <v>2803</v>
      </c>
      <c r="AQ557" s="1037">
        <v>2821</v>
      </c>
      <c r="AR557" s="1037">
        <v>3054</v>
      </c>
      <c r="AS557" s="1037">
        <v>3415</v>
      </c>
      <c r="AT557" s="288">
        <f t="shared" si="1249"/>
        <v>3041</v>
      </c>
      <c r="AU557" s="1132">
        <v>3041</v>
      </c>
      <c r="AV557" s="1037">
        <v>3206</v>
      </c>
      <c r="AW557" s="1037">
        <v>3397</v>
      </c>
      <c r="AX557" s="1037">
        <v>3785</v>
      </c>
      <c r="AY557" s="288">
        <f t="shared" si="1250"/>
        <v>3246</v>
      </c>
      <c r="AZ557" s="1132">
        <v>3246</v>
      </c>
      <c r="BA557" s="1037">
        <v>3435</v>
      </c>
      <c r="BB557" s="1037">
        <v>3686</v>
      </c>
      <c r="BC557" s="1037">
        <v>3997</v>
      </c>
      <c r="BD557" s="288">
        <f t="shared" si="1251"/>
        <v>3451</v>
      </c>
      <c r="BE557" s="1132">
        <v>3451</v>
      </c>
      <c r="BF557" s="1037">
        <v>3650</v>
      </c>
      <c r="BG557" s="1037">
        <v>3816</v>
      </c>
      <c r="BH557" s="1038">
        <v>4320</v>
      </c>
      <c r="BI557" s="171">
        <f>BH557+BI473</f>
        <v>4570.1790170000004</v>
      </c>
      <c r="BJ557" s="1133">
        <f t="shared" si="1252"/>
        <v>4570.1790170000004</v>
      </c>
      <c r="BK557" s="171">
        <f>BJ557+BK473</f>
        <v>4886.6304050000008</v>
      </c>
      <c r="BL557" s="171">
        <f>BK557+BL473</f>
        <v>5267.5395020000005</v>
      </c>
      <c r="BM557" s="171">
        <f>BL557+BM473</f>
        <v>5836.5026420000004</v>
      </c>
      <c r="BN557" s="171">
        <f>BM557+BN473</f>
        <v>6185.2433500000006</v>
      </c>
      <c r="BO557" s="1133">
        <f t="shared" si="1253"/>
        <v>6185.2433500000006</v>
      </c>
      <c r="BP557" s="1131">
        <f>BO557+BP473</f>
        <v>7818.5935310000004</v>
      </c>
      <c r="BQ557" s="1131">
        <f>BP557+BQ473</f>
        <v>9599.0079700000006</v>
      </c>
      <c r="BR557" s="1133">
        <f>BQ557+BR473</f>
        <v>11453.499909</v>
      </c>
      <c r="BS557" s="32"/>
    </row>
    <row r="558" spans="1:71" s="673" customFormat="1" ht="15">
      <c r="A558" s="114" t="s">
        <v>337</v>
      </c>
      <c r="B558" s="417"/>
      <c r="C558" s="1132">
        <v>11335</v>
      </c>
      <c r="D558" s="1132">
        <v>12905</v>
      </c>
      <c r="E558" s="1132">
        <v>15420</v>
      </c>
      <c r="F558" s="1132">
        <v>17609</v>
      </c>
      <c r="G558" s="1132">
        <v>20944</v>
      </c>
      <c r="H558" s="1037">
        <v>21744</v>
      </c>
      <c r="I558" s="1037">
        <v>22516</v>
      </c>
      <c r="J558" s="1037">
        <v>23044</v>
      </c>
      <c r="K558" s="288">
        <f t="shared" si="1242"/>
        <v>23764</v>
      </c>
      <c r="L558" s="1132">
        <v>23764</v>
      </c>
      <c r="M558" s="1037">
        <v>24411</v>
      </c>
      <c r="N558" s="1037">
        <v>25203</v>
      </c>
      <c r="O558" s="1037">
        <v>26026</v>
      </c>
      <c r="P558" s="288">
        <f t="shared" si="1243"/>
        <v>26622</v>
      </c>
      <c r="Q558" s="1132">
        <v>26622</v>
      </c>
      <c r="R558" s="1037">
        <v>27812</v>
      </c>
      <c r="S558" s="1037">
        <v>28596</v>
      </c>
      <c r="T558" s="1037">
        <v>29222</v>
      </c>
      <c r="U558" s="288">
        <f t="shared" si="1244"/>
        <v>29907</v>
      </c>
      <c r="V558" s="1132">
        <v>29907</v>
      </c>
      <c r="W558" s="1037">
        <v>31002</v>
      </c>
      <c r="X558" s="1037">
        <v>32014</v>
      </c>
      <c r="Y558" s="1037">
        <v>32671</v>
      </c>
      <c r="Z558" s="288">
        <f t="shared" si="1245"/>
        <v>33316</v>
      </c>
      <c r="AA558" s="1132">
        <v>33316</v>
      </c>
      <c r="AB558" s="1037">
        <v>33901</v>
      </c>
      <c r="AC558" s="1037">
        <v>34886</v>
      </c>
      <c r="AD558" s="1037">
        <v>35958</v>
      </c>
      <c r="AE558" s="288">
        <f t="shared" si="1246"/>
        <v>36616</v>
      </c>
      <c r="AF558" s="1132">
        <v>36616</v>
      </c>
      <c r="AG558" s="1037">
        <v>38006</v>
      </c>
      <c r="AH558" s="1037">
        <v>39044</v>
      </c>
      <c r="AI558" s="1037">
        <v>39651</v>
      </c>
      <c r="AJ558" s="288">
        <f t="shared" si="1247"/>
        <v>40406</v>
      </c>
      <c r="AK558" s="1132">
        <v>40406</v>
      </c>
      <c r="AL558" s="1037">
        <v>40463</v>
      </c>
      <c r="AM558" s="1037">
        <v>41392</v>
      </c>
      <c r="AN558" s="1037">
        <v>41932</v>
      </c>
      <c r="AO558" s="288">
        <f t="shared" si="1248"/>
        <v>42573</v>
      </c>
      <c r="AP558" s="1132">
        <v>42573</v>
      </c>
      <c r="AQ558" s="419"/>
      <c r="AR558" s="419"/>
      <c r="AS558" s="419"/>
      <c r="AT558" s="288">
        <f t="shared" si="1249"/>
        <v>0</v>
      </c>
      <c r="AU558" s="1131"/>
      <c r="AV558" s="419"/>
      <c r="AW558" s="419"/>
      <c r="AX558" s="419"/>
      <c r="AY558" s="288">
        <f t="shared" si="1250"/>
        <v>0</v>
      </c>
      <c r="AZ558" s="1131"/>
      <c r="BA558" s="419"/>
      <c r="BB558" s="419"/>
      <c r="BC558" s="419"/>
      <c r="BD558" s="288">
        <f t="shared" si="1251"/>
        <v>0</v>
      </c>
      <c r="BE558" s="1131"/>
      <c r="BF558" s="419"/>
      <c r="BG558" s="419"/>
      <c r="BH558" s="464"/>
      <c r="BI558" s="171">
        <f t="shared" si="1254" ref="BI558:BI561">BH558</f>
        <v>0</v>
      </c>
      <c r="BJ558" s="1133">
        <f t="shared" si="1252"/>
        <v>0</v>
      </c>
      <c r="BK558" s="171">
        <f t="shared" si="1255" ref="BK558:BN561">BJ558</f>
        <v>0</v>
      </c>
      <c r="BL558" s="171">
        <f t="shared" si="1255"/>
        <v>0</v>
      </c>
      <c r="BM558" s="171">
        <f t="shared" si="1255"/>
        <v>0</v>
      </c>
      <c r="BN558" s="171">
        <f t="shared" si="1255"/>
        <v>0</v>
      </c>
      <c r="BO558" s="1133">
        <f t="shared" si="1253"/>
        <v>0</v>
      </c>
      <c r="BP558" s="1131">
        <f t="shared" si="1256" ref="BP558:BR561">BO558</f>
        <v>0</v>
      </c>
      <c r="BQ558" s="1131">
        <f t="shared" si="1256"/>
        <v>0</v>
      </c>
      <c r="BR558" s="1133">
        <f t="shared" si="1256"/>
        <v>0</v>
      </c>
      <c r="BS558" s="32"/>
    </row>
    <row r="559" spans="1:71" s="673" customFormat="1" ht="15">
      <c r="A559" s="114" t="s">
        <v>338</v>
      </c>
      <c r="B559" s="417"/>
      <c r="C559" s="1132">
        <v>1603</v>
      </c>
      <c r="D559" s="1132">
        <v>1650</v>
      </c>
      <c r="E559" s="1132">
        <v>1727</v>
      </c>
      <c r="F559" s="1132">
        <v>2059</v>
      </c>
      <c r="G559" s="1132">
        <v>2008</v>
      </c>
      <c r="H559" s="1037">
        <v>2039</v>
      </c>
      <c r="I559" s="1037">
        <v>2082</v>
      </c>
      <c r="J559" s="1037">
        <v>2098</v>
      </c>
      <c r="K559" s="288">
        <f t="shared" si="1242"/>
        <v>2175</v>
      </c>
      <c r="L559" s="1132">
        <v>2175</v>
      </c>
      <c r="M559" s="1037">
        <v>2195</v>
      </c>
      <c r="N559" s="1037">
        <v>2156</v>
      </c>
      <c r="O559" s="1037">
        <v>2159</v>
      </c>
      <c r="P559" s="288">
        <f t="shared" si="1243"/>
        <v>705</v>
      </c>
      <c r="Q559" s="1132">
        <v>705</v>
      </c>
      <c r="R559" s="1037">
        <v>708</v>
      </c>
      <c r="S559" s="1037">
        <v>702</v>
      </c>
      <c r="T559" s="1037">
        <v>700</v>
      </c>
      <c r="U559" s="288">
        <f t="shared" si="1244"/>
        <v>691</v>
      </c>
      <c r="V559" s="1132">
        <v>691</v>
      </c>
      <c r="W559" s="1037">
        <v>687</v>
      </c>
      <c r="X559" s="1037">
        <v>676</v>
      </c>
      <c r="Y559" s="1037">
        <v>667</v>
      </c>
      <c r="Z559" s="288">
        <f t="shared" si="1245"/>
        <v>658</v>
      </c>
      <c r="AA559" s="1132">
        <v>658</v>
      </c>
      <c r="AB559" s="1037">
        <v>656</v>
      </c>
      <c r="AC559" s="1037">
        <v>647</v>
      </c>
      <c r="AD559" s="1037">
        <v>643</v>
      </c>
      <c r="AE559" s="288">
        <f t="shared" si="1246"/>
        <v>635</v>
      </c>
      <c r="AF559" s="1132">
        <v>635</v>
      </c>
      <c r="AG559" s="1037">
        <v>632</v>
      </c>
      <c r="AH559" s="1037">
        <v>619</v>
      </c>
      <c r="AI559" s="1037">
        <v>613</v>
      </c>
      <c r="AJ559" s="288">
        <f t="shared" si="1247"/>
        <v>612</v>
      </c>
      <c r="AK559" s="1132">
        <v>612</v>
      </c>
      <c r="AL559" s="1037">
        <v>607</v>
      </c>
      <c r="AM559" s="1037">
        <v>606</v>
      </c>
      <c r="AN559" s="1037">
        <v>609</v>
      </c>
      <c r="AO559" s="288">
        <f t="shared" si="1248"/>
        <v>607</v>
      </c>
      <c r="AP559" s="1132">
        <v>607</v>
      </c>
      <c r="AQ559" s="419"/>
      <c r="AR559" s="419"/>
      <c r="AS559" s="419"/>
      <c r="AT559" s="288">
        <f t="shared" si="1249"/>
        <v>0</v>
      </c>
      <c r="AU559" s="1131"/>
      <c r="AV559" s="419"/>
      <c r="AW559" s="419"/>
      <c r="AX559" s="419"/>
      <c r="AY559" s="288">
        <f t="shared" si="1250"/>
        <v>0</v>
      </c>
      <c r="AZ559" s="1131"/>
      <c r="BA559" s="419"/>
      <c r="BB559" s="419"/>
      <c r="BC559" s="419"/>
      <c r="BD559" s="288">
        <f t="shared" si="1251"/>
        <v>0</v>
      </c>
      <c r="BE559" s="1131"/>
      <c r="BF559" s="419"/>
      <c r="BG559" s="419"/>
      <c r="BH559" s="464"/>
      <c r="BI559" s="171">
        <f t="shared" si="1254"/>
        <v>0</v>
      </c>
      <c r="BJ559" s="1133">
        <f t="shared" si="1252"/>
        <v>0</v>
      </c>
      <c r="BK559" s="171">
        <f t="shared" si="1255"/>
        <v>0</v>
      </c>
      <c r="BL559" s="171">
        <f t="shared" si="1255"/>
        <v>0</v>
      </c>
      <c r="BM559" s="171">
        <f t="shared" si="1255"/>
        <v>0</v>
      </c>
      <c r="BN559" s="171">
        <f t="shared" si="1255"/>
        <v>0</v>
      </c>
      <c r="BO559" s="1133">
        <f t="shared" si="1253"/>
        <v>0</v>
      </c>
      <c r="BP559" s="1131">
        <f t="shared" si="1256"/>
        <v>0</v>
      </c>
      <c r="BQ559" s="1131">
        <f t="shared" si="1256"/>
        <v>0</v>
      </c>
      <c r="BR559" s="1133">
        <f t="shared" si="1256"/>
        <v>0</v>
      </c>
      <c r="BS559" s="32"/>
    </row>
    <row r="560" spans="1:71" s="673" customFormat="1" ht="15">
      <c r="A560" s="114" t="s">
        <v>269</v>
      </c>
      <c r="B560" s="417"/>
      <c r="C560" s="1132">
        <v>462</v>
      </c>
      <c r="D560" s="1132">
        <v>320</v>
      </c>
      <c r="E560" s="1132">
        <v>475</v>
      </c>
      <c r="F560" s="1132">
        <v>475</v>
      </c>
      <c r="G560" s="1132">
        <v>508</v>
      </c>
      <c r="H560" s="1037">
        <v>400</v>
      </c>
      <c r="I560" s="1037">
        <v>445</v>
      </c>
      <c r="J560" s="1037">
        <v>673</v>
      </c>
      <c r="K560" s="288">
        <f t="shared" si="1242"/>
        <v>645</v>
      </c>
      <c r="L560" s="1132">
        <v>645</v>
      </c>
      <c r="M560" s="1037">
        <v>494</v>
      </c>
      <c r="N560" s="1037">
        <v>511</v>
      </c>
      <c r="O560" s="1037">
        <v>724</v>
      </c>
      <c r="P560" s="288">
        <f t="shared" si="1243"/>
        <v>591</v>
      </c>
      <c r="Q560" s="1132">
        <v>591</v>
      </c>
      <c r="R560" s="1037">
        <v>501</v>
      </c>
      <c r="S560" s="1037">
        <v>588</v>
      </c>
      <c r="T560" s="1037">
        <v>835</v>
      </c>
      <c r="U560" s="288">
        <f t="shared" si="1244"/>
        <v>634</v>
      </c>
      <c r="V560" s="1132">
        <v>634</v>
      </c>
      <c r="W560" s="1037">
        <v>621</v>
      </c>
      <c r="X560" s="1037">
        <v>681</v>
      </c>
      <c r="Y560" s="1037">
        <v>906</v>
      </c>
      <c r="Z560" s="288">
        <f t="shared" si="1245"/>
        <v>743</v>
      </c>
      <c r="AA560" s="1132">
        <v>743</v>
      </c>
      <c r="AB560" s="1037">
        <v>661</v>
      </c>
      <c r="AC560" s="1037">
        <v>721</v>
      </c>
      <c r="AD560" s="1037">
        <v>932</v>
      </c>
      <c r="AE560" s="288">
        <f t="shared" si="1246"/>
        <v>752</v>
      </c>
      <c r="AF560" s="1132">
        <v>752</v>
      </c>
      <c r="AG560" s="1037">
        <v>730</v>
      </c>
      <c r="AH560" s="1037">
        <v>755</v>
      </c>
      <c r="AI560" s="1037">
        <v>867</v>
      </c>
      <c r="AJ560" s="288">
        <f t="shared" si="1247"/>
        <v>814</v>
      </c>
      <c r="AK560" s="1132">
        <v>814</v>
      </c>
      <c r="AL560" s="1037">
        <v>779</v>
      </c>
      <c r="AM560" s="1037">
        <v>746</v>
      </c>
      <c r="AN560" s="1037">
        <v>977</v>
      </c>
      <c r="AO560" s="288">
        <f t="shared" si="1248"/>
        <v>807</v>
      </c>
      <c r="AP560" s="1132">
        <v>807</v>
      </c>
      <c r="AQ560" s="1037">
        <v>753</v>
      </c>
      <c r="AR560" s="1037">
        <v>829</v>
      </c>
      <c r="AS560" s="1037">
        <v>1146</v>
      </c>
      <c r="AT560" s="288">
        <f t="shared" si="1249"/>
        <v>920</v>
      </c>
      <c r="AU560" s="1132">
        <v>920</v>
      </c>
      <c r="AV560" s="1037">
        <v>910</v>
      </c>
      <c r="AW560" s="1037">
        <v>971</v>
      </c>
      <c r="AX560" s="1037">
        <v>1366</v>
      </c>
      <c r="AY560" s="288">
        <f t="shared" si="1250"/>
        <v>1035</v>
      </c>
      <c r="AZ560" s="1132">
        <v>1035</v>
      </c>
      <c r="BA560" s="1037">
        <v>911</v>
      </c>
      <c r="BB560" s="1037">
        <v>1038</v>
      </c>
      <c r="BC560" s="1037">
        <v>1398</v>
      </c>
      <c r="BD560" s="288">
        <f t="shared" si="1251"/>
        <v>1186</v>
      </c>
      <c r="BE560" s="1132">
        <v>1186</v>
      </c>
      <c r="BF560" s="1037">
        <v>1078</v>
      </c>
      <c r="BG560" s="1037">
        <v>1176</v>
      </c>
      <c r="BH560" s="1038">
        <v>1620</v>
      </c>
      <c r="BI560" s="171">
        <f t="shared" si="1254"/>
        <v>1620</v>
      </c>
      <c r="BJ560" s="1133">
        <f t="shared" si="1252"/>
        <v>1620</v>
      </c>
      <c r="BK560" s="171">
        <f t="shared" si="1255"/>
        <v>1620</v>
      </c>
      <c r="BL560" s="171">
        <f t="shared" si="1255"/>
        <v>1620</v>
      </c>
      <c r="BM560" s="171">
        <f t="shared" si="1255"/>
        <v>1620</v>
      </c>
      <c r="BN560" s="171">
        <f t="shared" si="1255"/>
        <v>1620</v>
      </c>
      <c r="BO560" s="1133">
        <f t="shared" si="1253"/>
        <v>1620</v>
      </c>
      <c r="BP560" s="1131">
        <f t="shared" si="1256"/>
        <v>1620</v>
      </c>
      <c r="BQ560" s="1131">
        <f t="shared" si="1256"/>
        <v>1620</v>
      </c>
      <c r="BR560" s="1133">
        <f t="shared" si="1256"/>
        <v>1620</v>
      </c>
      <c r="BS560" s="32"/>
    </row>
    <row r="561" spans="1:71" s="673" customFormat="1" ht="15">
      <c r="A561" s="114" t="s">
        <v>339</v>
      </c>
      <c r="B561" s="417"/>
      <c r="C561" s="1132">
        <v>0</v>
      </c>
      <c r="D561" s="1132">
        <v>2323</v>
      </c>
      <c r="E561" s="1132">
        <v>2787</v>
      </c>
      <c r="F561" s="1132">
        <v>2892</v>
      </c>
      <c r="G561" s="1132">
        <v>2567</v>
      </c>
      <c r="H561" s="1037">
        <v>2413</v>
      </c>
      <c r="I561" s="1037">
        <v>2499</v>
      </c>
      <c r="J561" s="1037">
        <v>2625</v>
      </c>
      <c r="K561" s="288">
        <f t="shared" si="1242"/>
        <v>2819</v>
      </c>
      <c r="L561" s="1132">
        <v>2819</v>
      </c>
      <c r="M561" s="1037">
        <v>2952</v>
      </c>
      <c r="N561" s="1037">
        <v>3309</v>
      </c>
      <c r="O561" s="1037">
        <v>3287</v>
      </c>
      <c r="P561" s="288">
        <f t="shared" si="1243"/>
        <v>3781</v>
      </c>
      <c r="Q561" s="1132">
        <v>3781</v>
      </c>
      <c r="R561" s="1037">
        <v>3656</v>
      </c>
      <c r="S561" s="1037">
        <v>4192</v>
      </c>
      <c r="T561" s="1037">
        <v>4067</v>
      </c>
      <c r="U561" s="288">
        <f t="shared" si="1244"/>
        <v>4549</v>
      </c>
      <c r="V561" s="1132">
        <v>4549</v>
      </c>
      <c r="W561" s="1037">
        <v>5101</v>
      </c>
      <c r="X561" s="1037">
        <v>4685</v>
      </c>
      <c r="Y561" s="1037">
        <v>4506</v>
      </c>
      <c r="Z561" s="288">
        <f t="shared" si="1245"/>
        <v>4687</v>
      </c>
      <c r="AA561" s="1132">
        <v>4687</v>
      </c>
      <c r="AB561" s="1037">
        <v>4869</v>
      </c>
      <c r="AC561" s="1037">
        <v>4840</v>
      </c>
      <c r="AD561" s="1037">
        <v>4807</v>
      </c>
      <c r="AE561" s="288">
        <f t="shared" si="1246"/>
        <v>4512</v>
      </c>
      <c r="AF561" s="1132">
        <v>4512</v>
      </c>
      <c r="AG561" s="1037">
        <v>4593</v>
      </c>
      <c r="AH561" s="1037">
        <v>4590</v>
      </c>
      <c r="AI561" s="1037">
        <v>4523</v>
      </c>
      <c r="AJ561" s="288">
        <f t="shared" si="1247"/>
        <v>4571</v>
      </c>
      <c r="AK561" s="1132">
        <v>4571</v>
      </c>
      <c r="AL561" s="1037">
        <v>3865</v>
      </c>
      <c r="AM561" s="1037">
        <v>4236</v>
      </c>
      <c r="AN561" s="1037">
        <v>4541</v>
      </c>
      <c r="AO561" s="288">
        <f t="shared" si="1248"/>
        <v>4771</v>
      </c>
      <c r="AP561" s="1132">
        <v>4771</v>
      </c>
      <c r="AQ561" s="1037">
        <v>5045</v>
      </c>
      <c r="AR561" s="1037">
        <v>5029</v>
      </c>
      <c r="AS561" s="1037">
        <v>5034</v>
      </c>
      <c r="AT561" s="288">
        <f t="shared" si="1249"/>
        <v>5220</v>
      </c>
      <c r="AU561" s="1132">
        <v>5220</v>
      </c>
      <c r="AV561" s="1037">
        <v>5112</v>
      </c>
      <c r="AW561" s="1037">
        <v>5133</v>
      </c>
      <c r="AX561" s="1037">
        <v>5002</v>
      </c>
      <c r="AY561" s="288">
        <f t="shared" si="1250"/>
        <v>5332</v>
      </c>
      <c r="AZ561" s="1132">
        <v>5332</v>
      </c>
      <c r="BA561" s="1037">
        <v>5258</v>
      </c>
      <c r="BB561" s="1037">
        <v>5098</v>
      </c>
      <c r="BC561" s="1037">
        <v>4728</v>
      </c>
      <c r="BD561" s="288">
        <f t="shared" si="1251"/>
        <v>4307</v>
      </c>
      <c r="BE561" s="1132">
        <v>4307</v>
      </c>
      <c r="BF561" s="1037">
        <v>4468</v>
      </c>
      <c r="BG561" s="1037">
        <v>4536</v>
      </c>
      <c r="BH561" s="1038">
        <v>4168</v>
      </c>
      <c r="BI561" s="171">
        <f t="shared" si="1254"/>
        <v>4168</v>
      </c>
      <c r="BJ561" s="1133">
        <f t="shared" si="1252"/>
        <v>4168</v>
      </c>
      <c r="BK561" s="171">
        <f t="shared" si="1255"/>
        <v>4168</v>
      </c>
      <c r="BL561" s="171">
        <f t="shared" si="1255"/>
        <v>4168</v>
      </c>
      <c r="BM561" s="171">
        <f t="shared" si="1255"/>
        <v>4168</v>
      </c>
      <c r="BN561" s="171">
        <f t="shared" si="1255"/>
        <v>4168</v>
      </c>
      <c r="BO561" s="1133">
        <f t="shared" si="1253"/>
        <v>4168</v>
      </c>
      <c r="BP561" s="1131">
        <f t="shared" si="1256"/>
        <v>4168</v>
      </c>
      <c r="BQ561" s="1131">
        <f t="shared" si="1256"/>
        <v>4168</v>
      </c>
      <c r="BR561" s="1133">
        <f t="shared" si="1256"/>
        <v>4168</v>
      </c>
      <c r="BS561" s="32"/>
    </row>
    <row r="562" spans="1:71" s="673" customFormat="1" ht="15">
      <c r="A562" s="114" t="s">
        <v>340</v>
      </c>
      <c r="B562" s="417"/>
      <c r="C562" s="1132">
        <v>828</v>
      </c>
      <c r="D562" s="1132">
        <v>952</v>
      </c>
      <c r="E562" s="1132">
        <v>934</v>
      </c>
      <c r="F562" s="1132">
        <v>953</v>
      </c>
      <c r="G562" s="1132">
        <v>913</v>
      </c>
      <c r="H562" s="1037">
        <v>913</v>
      </c>
      <c r="I562" s="1037">
        <v>912</v>
      </c>
      <c r="J562" s="1037">
        <v>1062</v>
      </c>
      <c r="K562" s="288">
        <f t="shared" si="1242"/>
        <v>1061</v>
      </c>
      <c r="L562" s="1132">
        <v>1061</v>
      </c>
      <c r="M562" s="1037">
        <v>1061</v>
      </c>
      <c r="N562" s="1037">
        <v>1024</v>
      </c>
      <c r="O562" s="1037">
        <v>880</v>
      </c>
      <c r="P562" s="288">
        <f t="shared" si="1243"/>
        <v>998</v>
      </c>
      <c r="Q562" s="1132">
        <v>998</v>
      </c>
      <c r="R562" s="1037">
        <v>998</v>
      </c>
      <c r="S562" s="1037">
        <v>998</v>
      </c>
      <c r="T562" s="1037">
        <v>1300</v>
      </c>
      <c r="U562" s="288">
        <f t="shared" si="1244"/>
        <v>1283</v>
      </c>
      <c r="V562" s="1132">
        <v>1283</v>
      </c>
      <c r="W562" s="1037">
        <v>1283</v>
      </c>
      <c r="X562" s="1037">
        <v>1405</v>
      </c>
      <c r="Y562" s="1037">
        <v>1284</v>
      </c>
      <c r="Z562" s="288">
        <f t="shared" si="1245"/>
        <v>1301</v>
      </c>
      <c r="AA562" s="1132">
        <v>1301</v>
      </c>
      <c r="AB562" s="1037">
        <v>1301</v>
      </c>
      <c r="AC562" s="1037">
        <v>1301</v>
      </c>
      <c r="AD562" s="1037">
        <v>1302</v>
      </c>
      <c r="AE562" s="288">
        <f t="shared" si="1246"/>
        <v>1302</v>
      </c>
      <c r="AF562" s="1132">
        <v>1302</v>
      </c>
      <c r="AG562" s="1037">
        <v>1423</v>
      </c>
      <c r="AH562" s="1037">
        <v>1423</v>
      </c>
      <c r="AI562" s="1037">
        <v>1423</v>
      </c>
      <c r="AJ562" s="288">
        <f t="shared" si="1247"/>
        <v>1473</v>
      </c>
      <c r="AK562" s="1132">
        <v>1473</v>
      </c>
      <c r="AL562" s="1037">
        <v>1473</v>
      </c>
      <c r="AM562" s="1037">
        <v>1912</v>
      </c>
      <c r="AN562" s="1037">
        <v>2108</v>
      </c>
      <c r="AO562" s="288">
        <f t="shared" si="1248"/>
        <v>1963</v>
      </c>
      <c r="AP562" s="1132">
        <v>1963</v>
      </c>
      <c r="AQ562" s="1037">
        <v>1963</v>
      </c>
      <c r="AR562" s="1037">
        <v>1963</v>
      </c>
      <c r="AS562" s="1037">
        <v>1964</v>
      </c>
      <c r="AT562" s="288">
        <f t="shared" si="1249"/>
        <v>1964</v>
      </c>
      <c r="AU562" s="1132">
        <v>1964</v>
      </c>
      <c r="AV562" s="1037">
        <v>1917</v>
      </c>
      <c r="AW562" s="1037">
        <v>1542</v>
      </c>
      <c r="AX562" s="1037">
        <v>1533</v>
      </c>
      <c r="AY562" s="288">
        <f t="shared" si="1250"/>
        <v>1496</v>
      </c>
      <c r="AZ562" s="1132">
        <v>1496</v>
      </c>
      <c r="BA562" s="1037">
        <v>1478</v>
      </c>
      <c r="BB562" s="1037">
        <v>1474</v>
      </c>
      <c r="BC562" s="1037">
        <v>1474</v>
      </c>
      <c r="BD562" s="288">
        <f t="shared" si="1251"/>
        <v>1475</v>
      </c>
      <c r="BE562" s="1132">
        <v>1475</v>
      </c>
      <c r="BF562" s="1037">
        <v>1475</v>
      </c>
      <c r="BG562" s="1037">
        <v>1475</v>
      </c>
      <c r="BH562" s="1038">
        <v>1475</v>
      </c>
      <c r="BI562" s="171">
        <f>BH562+BI506+BI507</f>
        <v>1475</v>
      </c>
      <c r="BJ562" s="1133">
        <f t="shared" si="1252"/>
        <v>1475</v>
      </c>
      <c r="BK562" s="171">
        <f>BJ562+BK506+BK507</f>
        <v>1475</v>
      </c>
      <c r="BL562" s="171">
        <f>BK562+BL506+BL507</f>
        <v>1475</v>
      </c>
      <c r="BM562" s="171">
        <f>BL562+BM506+BM507</f>
        <v>1475</v>
      </c>
      <c r="BN562" s="171">
        <f>BM562+BN506+BN507</f>
        <v>1475</v>
      </c>
      <c r="BO562" s="1133">
        <f t="shared" si="1253"/>
        <v>1475</v>
      </c>
      <c r="BP562" s="1131">
        <f>BO562+BP506+BP507</f>
        <v>1475</v>
      </c>
      <c r="BQ562" s="1131">
        <f>BP562+BQ506+BQ507</f>
        <v>1475</v>
      </c>
      <c r="BR562" s="1133">
        <f>BQ562+BR506+BR507</f>
        <v>1475</v>
      </c>
      <c r="BS562" s="32"/>
    </row>
    <row r="563" spans="1:71" s="673" customFormat="1" ht="15">
      <c r="A563" s="114" t="s">
        <v>341</v>
      </c>
      <c r="B563" s="417"/>
      <c r="C563" s="1132">
        <v>549</v>
      </c>
      <c r="D563" s="1132">
        <v>616</v>
      </c>
      <c r="E563" s="1132">
        <v>548</v>
      </c>
      <c r="F563" s="1132">
        <v>580</v>
      </c>
      <c r="G563" s="1132">
        <v>665</v>
      </c>
      <c r="H563" s="1037">
        <v>666</v>
      </c>
      <c r="I563" s="1037">
        <v>681</v>
      </c>
      <c r="J563" s="1037">
        <v>649</v>
      </c>
      <c r="K563" s="288">
        <f t="shared" si="1242"/>
        <v>662</v>
      </c>
      <c r="L563" s="1132">
        <v>662</v>
      </c>
      <c r="M563" s="1037">
        <v>667</v>
      </c>
      <c r="N563" s="1037">
        <v>655</v>
      </c>
      <c r="O563" s="1037">
        <v>595</v>
      </c>
      <c r="P563" s="288">
        <f t="shared" si="1243"/>
        <v>608</v>
      </c>
      <c r="Q563" s="1132">
        <v>608</v>
      </c>
      <c r="R563" s="1037">
        <v>595</v>
      </c>
      <c r="S563" s="1037">
        <v>595</v>
      </c>
      <c r="T563" s="1037">
        <v>606</v>
      </c>
      <c r="U563" s="288">
        <f t="shared" si="1244"/>
        <v>600</v>
      </c>
      <c r="V563" s="1132">
        <v>600</v>
      </c>
      <c r="W563" s="1037">
        <v>614</v>
      </c>
      <c r="X563" s="1037">
        <v>620</v>
      </c>
      <c r="Y563" s="1037">
        <v>628</v>
      </c>
      <c r="Z563" s="288">
        <f t="shared" si="1245"/>
        <v>644</v>
      </c>
      <c r="AA563" s="1132">
        <v>644</v>
      </c>
      <c r="AB563" s="1037">
        <v>632</v>
      </c>
      <c r="AC563" s="1037">
        <v>636</v>
      </c>
      <c r="AD563" s="1037">
        <v>650</v>
      </c>
      <c r="AE563" s="288">
        <f t="shared" si="1246"/>
        <v>557</v>
      </c>
      <c r="AF563" s="1132">
        <v>557</v>
      </c>
      <c r="AG563" s="1037">
        <v>610</v>
      </c>
      <c r="AH563" s="1037">
        <v>616</v>
      </c>
      <c r="AI563" s="1037">
        <v>601</v>
      </c>
      <c r="AJ563" s="288">
        <f t="shared" si="1247"/>
        <v>628</v>
      </c>
      <c r="AK563" s="1132">
        <v>628</v>
      </c>
      <c r="AL563" s="1037">
        <v>497</v>
      </c>
      <c r="AM563" s="1037">
        <v>577</v>
      </c>
      <c r="AN563" s="1037">
        <v>603</v>
      </c>
      <c r="AO563" s="288">
        <f t="shared" si="1248"/>
        <v>664</v>
      </c>
      <c r="AP563" s="1132">
        <v>664</v>
      </c>
      <c r="AQ563" s="419"/>
      <c r="AR563" s="419"/>
      <c r="AS563" s="419"/>
      <c r="AT563" s="288">
        <f t="shared" si="1249"/>
        <v>0</v>
      </c>
      <c r="AU563" s="1131"/>
      <c r="AV563" s="419"/>
      <c r="AW563" s="419"/>
      <c r="AX563" s="419"/>
      <c r="AY563" s="288">
        <f t="shared" si="1250"/>
        <v>0</v>
      </c>
      <c r="AZ563" s="1131"/>
      <c r="BA563" s="419"/>
      <c r="BB563" s="419"/>
      <c r="BC563" s="419"/>
      <c r="BD563" s="288">
        <f t="shared" si="1251"/>
        <v>0</v>
      </c>
      <c r="BE563" s="1131"/>
      <c r="BF563" s="419"/>
      <c r="BG563" s="419"/>
      <c r="BH563" s="464"/>
      <c r="BI563" s="171">
        <f>BH563</f>
        <v>0</v>
      </c>
      <c r="BJ563" s="1133">
        <f t="shared" si="1252"/>
        <v>0</v>
      </c>
      <c r="BK563" s="171">
        <f>BJ563</f>
        <v>0</v>
      </c>
      <c r="BL563" s="171">
        <f>BK563</f>
        <v>0</v>
      </c>
      <c r="BM563" s="171">
        <f>BL563</f>
        <v>0</v>
      </c>
      <c r="BN563" s="171">
        <f>BM563</f>
        <v>0</v>
      </c>
      <c r="BO563" s="1133">
        <f t="shared" si="1253"/>
        <v>0</v>
      </c>
      <c r="BP563" s="1131">
        <f>BO563</f>
        <v>0</v>
      </c>
      <c r="BQ563" s="1131">
        <f>BP563</f>
        <v>0</v>
      </c>
      <c r="BR563" s="1133">
        <f>BQ563</f>
        <v>0</v>
      </c>
      <c r="BS563" s="32"/>
    </row>
    <row r="564" spans="1:71" s="673" customFormat="1" ht="15">
      <c r="A564" s="114" t="s">
        <v>342</v>
      </c>
      <c r="B564" s="417"/>
      <c r="C564" s="1131"/>
      <c r="D564" s="1131"/>
      <c r="E564" s="1131"/>
      <c r="F564" s="1131"/>
      <c r="G564" s="1131"/>
      <c r="H564" s="419"/>
      <c r="I564" s="419"/>
      <c r="J564" s="419"/>
      <c r="K564" s="419"/>
      <c r="L564" s="1131"/>
      <c r="M564" s="419"/>
      <c r="N564" s="419"/>
      <c r="O564" s="419"/>
      <c r="P564" s="419"/>
      <c r="Q564" s="1131"/>
      <c r="R564" s="419"/>
      <c r="S564" s="419"/>
      <c r="T564" s="419"/>
      <c r="U564" s="419"/>
      <c r="V564" s="1131"/>
      <c r="W564" s="419"/>
      <c r="X564" s="1037">
        <v>0</v>
      </c>
      <c r="Y564" s="419"/>
      <c r="Z564" s="288">
        <f t="shared" si="1245"/>
        <v>0</v>
      </c>
      <c r="AA564" s="1131"/>
      <c r="AB564" s="419"/>
      <c r="AC564" s="419"/>
      <c r="AD564" s="419"/>
      <c r="AE564" s="288">
        <f t="shared" si="1246"/>
        <v>0</v>
      </c>
      <c r="AF564" s="1131"/>
      <c r="AG564" s="419"/>
      <c r="AH564" s="419"/>
      <c r="AI564" s="419"/>
      <c r="AJ564" s="288">
        <f t="shared" si="1247"/>
        <v>0</v>
      </c>
      <c r="AK564" s="1131"/>
      <c r="AL564" s="419"/>
      <c r="AM564" s="419"/>
      <c r="AN564" s="419"/>
      <c r="AO564" s="288">
        <f t="shared" si="1248"/>
        <v>0</v>
      </c>
      <c r="AP564" s="1131"/>
      <c r="AQ564" s="419"/>
      <c r="AR564" s="419"/>
      <c r="AS564" s="419"/>
      <c r="AT564" s="288">
        <f t="shared" si="1249"/>
        <v>0</v>
      </c>
      <c r="AU564" s="1131"/>
      <c r="AV564" s="419"/>
      <c r="AW564" s="419"/>
      <c r="AX564" s="419"/>
      <c r="AY564" s="288">
        <f t="shared" si="1250"/>
        <v>0</v>
      </c>
      <c r="AZ564" s="1131"/>
      <c r="BA564" s="419"/>
      <c r="BB564" s="419"/>
      <c r="BC564" s="419"/>
      <c r="BD564" s="288">
        <f t="shared" si="1251"/>
        <v>0</v>
      </c>
      <c r="BE564" s="1131"/>
      <c r="BF564" s="419"/>
      <c r="BG564" s="419"/>
      <c r="BH564" s="464"/>
      <c r="BI564" s="171">
        <f>BH564+BI462</f>
        <v>0</v>
      </c>
      <c r="BJ564" s="1133">
        <f t="shared" si="1252"/>
        <v>0</v>
      </c>
      <c r="BK564" s="171">
        <f>BJ564+BK462</f>
        <v>0</v>
      </c>
      <c r="BL564" s="171">
        <f>BK564+BL462</f>
        <v>0</v>
      </c>
      <c r="BM564" s="171">
        <f>BL564+BM462</f>
        <v>0</v>
      </c>
      <c r="BN564" s="171">
        <f>BM564+BN462</f>
        <v>0</v>
      </c>
      <c r="BO564" s="1133">
        <f t="shared" si="1253"/>
        <v>0</v>
      </c>
      <c r="BP564" s="1131">
        <f>BO564+BP462</f>
        <v>0</v>
      </c>
      <c r="BQ564" s="1131">
        <f>BP564+BQ462</f>
        <v>0</v>
      </c>
      <c r="BR564" s="1133">
        <f>BQ564+BR462</f>
        <v>0</v>
      </c>
      <c r="BS564" s="32"/>
    </row>
    <row r="565" spans="1:71" s="673" customFormat="1" ht="15">
      <c r="A565" s="114" t="s">
        <v>270</v>
      </c>
      <c r="B565" s="417"/>
      <c r="C565" s="1132">
        <v>1007</v>
      </c>
      <c r="D565" s="1132">
        <v>1047</v>
      </c>
      <c r="E565" s="1132">
        <v>1386</v>
      </c>
      <c r="F565" s="1132">
        <v>1359</v>
      </c>
      <c r="G565" s="1132">
        <v>1546</v>
      </c>
      <c r="H565" s="1037">
        <v>1700</v>
      </c>
      <c r="I565" s="1037">
        <v>1781</v>
      </c>
      <c r="J565" s="1037">
        <v>1564</v>
      </c>
      <c r="K565" s="288">
        <f>L565</f>
        <v>1527</v>
      </c>
      <c r="L565" s="1132">
        <v>1527</v>
      </c>
      <c r="M565" s="1037">
        <v>1855</v>
      </c>
      <c r="N565" s="1037">
        <v>1834</v>
      </c>
      <c r="O565" s="1037">
        <v>1681</v>
      </c>
      <c r="P565" s="288">
        <f>Q565</f>
        <v>1575</v>
      </c>
      <c r="Q565" s="1132">
        <v>1575</v>
      </c>
      <c r="R565" s="1037">
        <v>1672</v>
      </c>
      <c r="S565" s="1037">
        <v>1557</v>
      </c>
      <c r="T565" s="1037">
        <v>1768</v>
      </c>
      <c r="U565" s="288">
        <f>V565</f>
        <v>1755</v>
      </c>
      <c r="V565" s="1132">
        <v>1755</v>
      </c>
      <c r="W565" s="1037">
        <v>2166</v>
      </c>
      <c r="X565" s="1037">
        <v>2201</v>
      </c>
      <c r="Y565" s="1037">
        <v>1992</v>
      </c>
      <c r="Z565" s="288">
        <f t="shared" si="1245"/>
        <v>1887</v>
      </c>
      <c r="AA565" s="1132">
        <v>1887</v>
      </c>
      <c r="AB565" s="1037">
        <v>1847</v>
      </c>
      <c r="AC565" s="1037">
        <v>2087</v>
      </c>
      <c r="AD565" s="1037">
        <v>2324</v>
      </c>
      <c r="AE565" s="288">
        <f t="shared" si="1246"/>
        <v>1774</v>
      </c>
      <c r="AF565" s="1132">
        <v>1774</v>
      </c>
      <c r="AG565" s="1037">
        <v>2245</v>
      </c>
      <c r="AH565" s="1037">
        <v>2300</v>
      </c>
      <c r="AI565" s="1037">
        <v>2235</v>
      </c>
      <c r="AJ565" s="288">
        <f t="shared" si="1247"/>
        <v>2295</v>
      </c>
      <c r="AK565" s="1132">
        <v>2295</v>
      </c>
      <c r="AL565" s="1037">
        <v>1998</v>
      </c>
      <c r="AM565" s="1037">
        <v>2173</v>
      </c>
      <c r="AN565" s="1037">
        <v>2231</v>
      </c>
      <c r="AO565" s="288">
        <f t="shared" si="1248"/>
        <v>2197</v>
      </c>
      <c r="AP565" s="1132">
        <v>2197</v>
      </c>
      <c r="AQ565" s="1037">
        <v>1653</v>
      </c>
      <c r="AR565" s="1037">
        <v>1806</v>
      </c>
      <c r="AS565" s="1037">
        <v>2152</v>
      </c>
      <c r="AT565" s="288">
        <f t="shared" si="1249"/>
        <v>1708</v>
      </c>
      <c r="AU565" s="1132">
        <v>1708</v>
      </c>
      <c r="AV565" s="1037">
        <v>1796</v>
      </c>
      <c r="AW565" s="1037">
        <v>1773</v>
      </c>
      <c r="AX565" s="1037">
        <v>1847</v>
      </c>
      <c r="AY565" s="288">
        <f t="shared" si="1250"/>
        <v>1696</v>
      </c>
      <c r="AZ565" s="1132">
        <v>1696</v>
      </c>
      <c r="BA565" s="1037">
        <v>1697</v>
      </c>
      <c r="BB565" s="1037">
        <v>1834</v>
      </c>
      <c r="BC565" s="1037">
        <v>2356</v>
      </c>
      <c r="BD565" s="288">
        <f t="shared" si="1251"/>
        <v>2023</v>
      </c>
      <c r="BE565" s="1132">
        <v>2023</v>
      </c>
      <c r="BF565" s="1037">
        <v>2040</v>
      </c>
      <c r="BG565" s="1037">
        <v>1919</v>
      </c>
      <c r="BH565" s="1038">
        <v>2094</v>
      </c>
      <c r="BI565" s="171">
        <f t="shared" si="1257" ref="BI565:BI567">BH565</f>
        <v>2094</v>
      </c>
      <c r="BJ565" s="1133">
        <f t="shared" si="1252"/>
        <v>2094</v>
      </c>
      <c r="BK565" s="171">
        <f t="shared" si="1258" ref="BK565:BN567">BJ565</f>
        <v>2094</v>
      </c>
      <c r="BL565" s="171">
        <f t="shared" si="1258"/>
        <v>2094</v>
      </c>
      <c r="BM565" s="171">
        <f t="shared" si="1258"/>
        <v>2094</v>
      </c>
      <c r="BN565" s="171">
        <f t="shared" si="1258"/>
        <v>2094</v>
      </c>
      <c r="BO565" s="1133">
        <f t="shared" si="1253"/>
        <v>2094</v>
      </c>
      <c r="BP565" s="1131">
        <f t="shared" si="1259" ref="BP565:BR567">BO565</f>
        <v>2094</v>
      </c>
      <c r="BQ565" s="1131">
        <f t="shared" si="1259"/>
        <v>2094</v>
      </c>
      <c r="BR565" s="1133">
        <f t="shared" si="1259"/>
        <v>2094</v>
      </c>
      <c r="BS565" s="32"/>
    </row>
    <row r="566" spans="1:71" s="673" customFormat="1" ht="15">
      <c r="A566" s="599" t="s">
        <v>343</v>
      </c>
      <c r="B566" s="510"/>
      <c r="C566" s="1131"/>
      <c r="D566" s="1131"/>
      <c r="E566" s="1131"/>
      <c r="F566" s="1131"/>
      <c r="G566" s="1131"/>
      <c r="H566" s="419"/>
      <c r="I566" s="419"/>
      <c r="J566" s="419"/>
      <c r="K566" s="419"/>
      <c r="L566" s="1131"/>
      <c r="M566" s="419"/>
      <c r="N566" s="419"/>
      <c r="O566" s="419"/>
      <c r="P566" s="419"/>
      <c r="Q566" s="1131"/>
      <c r="R566" s="419"/>
      <c r="S566" s="419"/>
      <c r="T566" s="419"/>
      <c r="U566" s="419"/>
      <c r="V566" s="1131"/>
      <c r="W566" s="419"/>
      <c r="X566" s="419"/>
      <c r="Y566" s="419"/>
      <c r="Z566" s="288">
        <f t="shared" si="1245"/>
        <v>3</v>
      </c>
      <c r="AA566" s="1132">
        <v>3</v>
      </c>
      <c r="AB566" s="419"/>
      <c r="AC566" s="1037">
        <v>0</v>
      </c>
      <c r="AD566" s="419"/>
      <c r="AE566" s="288">
        <f t="shared" si="1246"/>
        <v>0</v>
      </c>
      <c r="AF566" s="1131"/>
      <c r="AG566" s="419"/>
      <c r="AH566" s="419"/>
      <c r="AI566" s="419"/>
      <c r="AJ566" s="288">
        <f t="shared" si="1247"/>
        <v>0</v>
      </c>
      <c r="AK566" s="1131"/>
      <c r="AL566" s="419"/>
      <c r="AM566" s="419"/>
      <c r="AN566" s="419"/>
      <c r="AO566" s="288">
        <f t="shared" si="1248"/>
        <v>0</v>
      </c>
      <c r="AP566" s="1131"/>
      <c r="AQ566" s="419"/>
      <c r="AR566" s="419"/>
      <c r="AS566" s="419"/>
      <c r="AT566" s="288">
        <f t="shared" si="1249"/>
        <v>0</v>
      </c>
      <c r="AU566" s="1131"/>
      <c r="AV566" s="419"/>
      <c r="AW566" s="419"/>
      <c r="AX566" s="419"/>
      <c r="AY566" s="288">
        <f t="shared" si="1250"/>
        <v>0</v>
      </c>
      <c r="AZ566" s="1131"/>
      <c r="BA566" s="419"/>
      <c r="BB566" s="419"/>
      <c r="BC566" s="419"/>
      <c r="BD566" s="288">
        <f t="shared" si="1251"/>
        <v>0</v>
      </c>
      <c r="BE566" s="1131"/>
      <c r="BF566" s="419"/>
      <c r="BG566" s="419"/>
      <c r="BH566" s="464"/>
      <c r="BI566" s="419">
        <f t="shared" si="1257"/>
        <v>0</v>
      </c>
      <c r="BJ566" s="1131">
        <f t="shared" si="1252"/>
        <v>0</v>
      </c>
      <c r="BK566" s="419">
        <f t="shared" si="1258"/>
        <v>0</v>
      </c>
      <c r="BL566" s="419">
        <f t="shared" si="1258"/>
        <v>0</v>
      </c>
      <c r="BM566" s="419">
        <f t="shared" si="1258"/>
        <v>0</v>
      </c>
      <c r="BN566" s="419">
        <f t="shared" si="1258"/>
        <v>0</v>
      </c>
      <c r="BO566" s="1131">
        <f t="shared" si="1253"/>
        <v>0</v>
      </c>
      <c r="BP566" s="1131">
        <f t="shared" si="1259"/>
        <v>0</v>
      </c>
      <c r="BQ566" s="1131">
        <f t="shared" si="1259"/>
        <v>0</v>
      </c>
      <c r="BR566" s="1131">
        <f t="shared" si="1259"/>
        <v>0</v>
      </c>
      <c r="BS566" s="32"/>
    </row>
    <row r="567" spans="1:71" s="673" customFormat="1" ht="15">
      <c r="A567" s="115" t="s">
        <v>528</v>
      </c>
      <c r="B567" s="511"/>
      <c r="C567" s="1134"/>
      <c r="D567" s="1134"/>
      <c r="E567" s="1134"/>
      <c r="F567" s="1134"/>
      <c r="G567" s="1134"/>
      <c r="H567" s="363"/>
      <c r="I567" s="363"/>
      <c r="J567" s="363"/>
      <c r="K567" s="363"/>
      <c r="L567" s="1134"/>
      <c r="M567" s="363"/>
      <c r="N567" s="363"/>
      <c r="O567" s="363"/>
      <c r="P567" s="363"/>
      <c r="Q567" s="1134"/>
      <c r="R567" s="363"/>
      <c r="S567" s="363"/>
      <c r="T567" s="363"/>
      <c r="U567" s="363"/>
      <c r="V567" s="1134"/>
      <c r="W567" s="363"/>
      <c r="X567" s="363"/>
      <c r="Y567" s="363"/>
      <c r="Z567" s="363"/>
      <c r="AA567" s="1134"/>
      <c r="AB567" s="363"/>
      <c r="AC567" s="363"/>
      <c r="AD567" s="363"/>
      <c r="AE567" s="363"/>
      <c r="AF567" s="1134"/>
      <c r="AG567" s="363"/>
      <c r="AH567" s="363"/>
      <c r="AI567" s="363"/>
      <c r="AJ567" s="363"/>
      <c r="AK567" s="1134"/>
      <c r="AL567" s="363"/>
      <c r="AM567" s="363"/>
      <c r="AN567" s="363"/>
      <c r="AO567" s="363"/>
      <c r="AP567" s="1134"/>
      <c r="AQ567" s="1040">
        <v>44893</v>
      </c>
      <c r="AR567" s="363"/>
      <c r="AS567" s="363"/>
      <c r="AT567" s="363"/>
      <c r="AU567" s="1134"/>
      <c r="AV567" s="363"/>
      <c r="AW567" s="363"/>
      <c r="AX567" s="363"/>
      <c r="AY567" s="363"/>
      <c r="AZ567" s="1134"/>
      <c r="BA567" s="363"/>
      <c r="BB567" s="363"/>
      <c r="BC567" s="363"/>
      <c r="BD567" s="419"/>
      <c r="BE567" s="1134"/>
      <c r="BF567" s="363"/>
      <c r="BG567" s="363"/>
      <c r="BH567" s="773"/>
      <c r="BI567" s="363">
        <f t="shared" si="1257"/>
        <v>0</v>
      </c>
      <c r="BJ567" s="1134">
        <f t="shared" si="1252"/>
        <v>0</v>
      </c>
      <c r="BK567" s="363">
        <f t="shared" si="1258"/>
        <v>0</v>
      </c>
      <c r="BL567" s="363">
        <f t="shared" si="1258"/>
        <v>0</v>
      </c>
      <c r="BM567" s="363">
        <f t="shared" si="1258"/>
        <v>0</v>
      </c>
      <c r="BN567" s="363">
        <f t="shared" si="1258"/>
        <v>0</v>
      </c>
      <c r="BO567" s="1134">
        <f t="shared" si="1253"/>
        <v>0</v>
      </c>
      <c r="BP567" s="1134">
        <f t="shared" si="1259"/>
        <v>0</v>
      </c>
      <c r="BQ567" s="1134">
        <f t="shared" si="1259"/>
        <v>0</v>
      </c>
      <c r="BR567" s="1134">
        <f t="shared" si="1259"/>
        <v>0</v>
      </c>
      <c r="BS567" s="32"/>
    </row>
    <row r="568" spans="1:71" s="674" customFormat="1" ht="15">
      <c r="A568" s="100" t="s">
        <v>344</v>
      </c>
      <c r="B568" s="516"/>
      <c r="C568" s="1138">
        <f t="shared" si="1260" ref="C568:AP568">SUM(C556:C567)</f>
        <v>23764</v>
      </c>
      <c r="D568" s="1138">
        <f t="shared" si="1260"/>
        <v>27760</v>
      </c>
      <c r="E568" s="1138">
        <f t="shared" si="1260"/>
        <v>31281</v>
      </c>
      <c r="F568" s="1138">
        <f t="shared" si="1260"/>
        <v>34423</v>
      </c>
      <c r="G568" s="1138">
        <f t="shared" si="1260"/>
        <v>37318</v>
      </c>
      <c r="H568" s="96">
        <f t="shared" si="1260"/>
        <v>37797</v>
      </c>
      <c r="I568" s="96">
        <f t="shared" si="1260"/>
        <v>40197</v>
      </c>
      <c r="J568" s="96">
        <f t="shared" si="1260"/>
        <v>41474</v>
      </c>
      <c r="K568" s="96">
        <f t="shared" si="1260"/>
        <v>42481</v>
      </c>
      <c r="L568" s="1138">
        <f t="shared" si="1260"/>
        <v>42481</v>
      </c>
      <c r="M568" s="96">
        <f t="shared" si="1260"/>
        <v>43207</v>
      </c>
      <c r="N568" s="96">
        <f t="shared" si="1260"/>
        <v>44440</v>
      </c>
      <c r="O568" s="96">
        <f t="shared" si="1260"/>
        <v>45651</v>
      </c>
      <c r="P568" s="96">
        <f t="shared" si="1260"/>
        <v>45067</v>
      </c>
      <c r="Q568" s="1138">
        <f t="shared" si="1260"/>
        <v>45067</v>
      </c>
      <c r="R568" s="96">
        <f t="shared" si="1260"/>
        <v>46101</v>
      </c>
      <c r="S568" s="96">
        <f t="shared" si="1260"/>
        <v>47540</v>
      </c>
      <c r="T568" s="96">
        <f t="shared" si="1260"/>
        <v>49487</v>
      </c>
      <c r="U568" s="96">
        <f t="shared" si="1260"/>
        <v>50153</v>
      </c>
      <c r="V568" s="1138">
        <f t="shared" si="1260"/>
        <v>50153</v>
      </c>
      <c r="W568" s="96">
        <f t="shared" si="1260"/>
        <v>52269</v>
      </c>
      <c r="X568" s="96">
        <f t="shared" si="1260"/>
        <v>53306</v>
      </c>
      <c r="Y568" s="96">
        <f t="shared" si="1260"/>
        <v>54784</v>
      </c>
      <c r="Z568" s="96">
        <f t="shared" si="1260"/>
        <v>55327</v>
      </c>
      <c r="AA568" s="1138">
        <f t="shared" si="1260"/>
        <v>55327</v>
      </c>
      <c r="AB568" s="96">
        <f t="shared" si="1260"/>
        <v>55473</v>
      </c>
      <c r="AC568" s="96">
        <f t="shared" si="1260"/>
        <v>56750</v>
      </c>
      <c r="AD568" s="96">
        <f t="shared" si="1260"/>
        <v>59026</v>
      </c>
      <c r="AE568" s="96">
        <f t="shared" si="1260"/>
        <v>58484</v>
      </c>
      <c r="AF568" s="1138">
        <f t="shared" si="1260"/>
        <v>58484</v>
      </c>
      <c r="AG568" s="96">
        <f t="shared" si="1260"/>
        <v>60467</v>
      </c>
      <c r="AH568" s="96">
        <f t="shared" si="1260"/>
        <v>61607</v>
      </c>
      <c r="AI568" s="96">
        <f t="shared" si="1260"/>
        <v>62746</v>
      </c>
      <c r="AJ568" s="96">
        <f t="shared" si="1260"/>
        <v>63861</v>
      </c>
      <c r="AK568" s="1138">
        <f t="shared" si="1260"/>
        <v>63861</v>
      </c>
      <c r="AL568" s="96">
        <f t="shared" si="1260"/>
        <v>62596</v>
      </c>
      <c r="AM568" s="96">
        <f t="shared" si="1260"/>
        <v>64741</v>
      </c>
      <c r="AN568" s="96">
        <f t="shared" si="1260"/>
        <v>66770</v>
      </c>
      <c r="AO568" s="96">
        <f t="shared" si="1260"/>
        <v>66777</v>
      </c>
      <c r="AP568" s="1138">
        <f t="shared" si="1260"/>
        <v>66777</v>
      </c>
      <c r="AQ568" s="96">
        <f t="shared" si="1261" ref="AQ568:AV568">SUM(AQ556:AQ567)</f>
        <v>67512</v>
      </c>
      <c r="AR568" s="96">
        <f t="shared" si="1261"/>
        <v>23179</v>
      </c>
      <c r="AS568" s="96">
        <f t="shared" si="1261"/>
        <v>24702</v>
      </c>
      <c r="AT568" s="96">
        <f t="shared" si="1261"/>
        <v>23927</v>
      </c>
      <c r="AU568" s="1138">
        <f t="shared" si="1261"/>
        <v>23927</v>
      </c>
      <c r="AV568" s="96">
        <f t="shared" si="1261"/>
        <v>23927</v>
      </c>
      <c r="AW568" s="96">
        <f t="shared" si="1262" ref="AW568:BJ568">SUM(AW556:AW567)</f>
        <v>24017</v>
      </c>
      <c r="AX568" s="96">
        <f t="shared" si="1262"/>
        <v>25600</v>
      </c>
      <c r="AY568" s="96">
        <f t="shared" si="1262"/>
        <v>24779</v>
      </c>
      <c r="AZ568" s="1138">
        <f t="shared" si="1262"/>
        <v>24779</v>
      </c>
      <c r="BA568" s="96">
        <f t="shared" si="1263" ref="BA568:BI568">SUM(BA556:BA567)</f>
        <v>24540</v>
      </c>
      <c r="BB568" s="96">
        <f t="shared" si="1263"/>
        <v>25055</v>
      </c>
      <c r="BC568" s="96">
        <f t="shared" si="1263"/>
        <v>26844</v>
      </c>
      <c r="BD568" s="96">
        <f t="shared" si="1263"/>
        <v>25529</v>
      </c>
      <c r="BE568" s="1138">
        <f t="shared" si="1263"/>
        <v>25529</v>
      </c>
      <c r="BF568" s="96">
        <f>SUM(BF556:BF567)</f>
        <v>25761</v>
      </c>
      <c r="BG568" s="96">
        <f>SUM(BG556:BG567)</f>
        <v>25529</v>
      </c>
      <c r="BH568" s="874">
        <f>SUM(BH556:BH567)</f>
        <v>27883</v>
      </c>
      <c r="BI568" s="596">
        <f t="shared" si="1263"/>
        <v>28246.863524</v>
      </c>
      <c r="BJ568" s="1139">
        <f t="shared" si="1262"/>
        <v>28246.863524</v>
      </c>
      <c r="BK568" s="596">
        <f t="shared" si="1264" ref="BK568:BR568">SUM(BK556:BK567)</f>
        <v>28667.974066999999</v>
      </c>
      <c r="BL568" s="596">
        <f t="shared" si="1264"/>
        <v>29168.597012000002</v>
      </c>
      <c r="BM568" s="596">
        <f t="shared" si="1264"/>
        <v>29886.737570000001</v>
      </c>
      <c r="BN568" s="596">
        <f t="shared" si="1264"/>
        <v>30345.964092000002</v>
      </c>
      <c r="BO568" s="1139">
        <f t="shared" si="1264"/>
        <v>30345.964092000002</v>
      </c>
      <c r="BP568" s="1139">
        <f t="shared" si="1264"/>
        <v>32531.785676</v>
      </c>
      <c r="BQ568" s="1139">
        <f t="shared" si="1264"/>
        <v>34940.451461000004</v>
      </c>
      <c r="BR568" s="1139">
        <f t="shared" si="1264"/>
        <v>37456.359217999998</v>
      </c>
      <c r="BS568" s="37"/>
    </row>
    <row r="569" spans="1:71" s="674" customFormat="1" ht="15">
      <c r="A569" s="485"/>
      <c r="B569" s="509"/>
      <c r="C569" s="1147"/>
      <c r="D569" s="1147"/>
      <c r="E569" s="1147"/>
      <c r="F569" s="1147"/>
      <c r="G569" s="1147"/>
      <c r="H569" s="426"/>
      <c r="I569" s="426"/>
      <c r="J569" s="426"/>
      <c r="K569" s="426"/>
      <c r="L569" s="1147"/>
      <c r="M569" s="426"/>
      <c r="N569" s="426"/>
      <c r="O569" s="426"/>
      <c r="P569" s="426"/>
      <c r="Q569" s="1147"/>
      <c r="R569" s="426"/>
      <c r="S569" s="426"/>
      <c r="T569" s="426"/>
      <c r="U569" s="426"/>
      <c r="V569" s="1147"/>
      <c r="W569" s="426"/>
      <c r="X569" s="426"/>
      <c r="Y569" s="426"/>
      <c r="Z569" s="426"/>
      <c r="AA569" s="1147"/>
      <c r="AB569" s="426"/>
      <c r="AC569" s="426"/>
      <c r="AD569" s="426"/>
      <c r="AE569" s="426"/>
      <c r="AF569" s="1147"/>
      <c r="AG569" s="426"/>
      <c r="AH569" s="426"/>
      <c r="AI569" s="426"/>
      <c r="AJ569" s="426"/>
      <c r="AK569" s="1147"/>
      <c r="AL569" s="426"/>
      <c r="AM569" s="426"/>
      <c r="AN569" s="426"/>
      <c r="AO569" s="426"/>
      <c r="AP569" s="1147"/>
      <c r="AQ569" s="426"/>
      <c r="AR569" s="426"/>
      <c r="AS569" s="426"/>
      <c r="AT569" s="426"/>
      <c r="AU569" s="1147"/>
      <c r="AV569" s="426"/>
      <c r="AW569" s="426"/>
      <c r="AX569" s="426"/>
      <c r="AY569" s="426"/>
      <c r="AZ569" s="1147"/>
      <c r="BA569" s="426"/>
      <c r="BB569" s="426"/>
      <c r="BC569" s="426"/>
      <c r="BD569" s="426"/>
      <c r="BE569" s="1147"/>
      <c r="BF569" s="426"/>
      <c r="BG569" s="426"/>
      <c r="BH569" s="487"/>
      <c r="BI569" s="159"/>
      <c r="BJ569" s="1148"/>
      <c r="BK569" s="159"/>
      <c r="BL569" s="159"/>
      <c r="BM569" s="159"/>
      <c r="BN569" s="159"/>
      <c r="BO569" s="1148"/>
      <c r="BP569" s="1147"/>
      <c r="BQ569" s="1147"/>
      <c r="BR569" s="1148"/>
      <c r="BS569" s="37"/>
    </row>
    <row r="570" spans="1:71" s="674" customFormat="1" ht="15">
      <c r="A570" s="144" t="s">
        <v>345</v>
      </c>
      <c r="B570" s="509"/>
      <c r="C570" s="1147"/>
      <c r="D570" s="1147"/>
      <c r="E570" s="1147"/>
      <c r="F570" s="1147"/>
      <c r="G570" s="1147"/>
      <c r="H570" s="426"/>
      <c r="I570" s="426"/>
      <c r="J570" s="426"/>
      <c r="K570" s="426"/>
      <c r="L570" s="1147"/>
      <c r="M570" s="426"/>
      <c r="N570" s="426"/>
      <c r="O570" s="426"/>
      <c r="P570" s="426"/>
      <c r="Q570" s="1147"/>
      <c r="R570" s="426"/>
      <c r="S570" s="426"/>
      <c r="T570" s="426"/>
      <c r="U570" s="426"/>
      <c r="V570" s="1147"/>
      <c r="W570" s="426"/>
      <c r="X570" s="426"/>
      <c r="Y570" s="426"/>
      <c r="Z570" s="426"/>
      <c r="AA570" s="1147"/>
      <c r="AB570" s="426"/>
      <c r="AC570" s="426"/>
      <c r="AD570" s="426"/>
      <c r="AE570" s="426"/>
      <c r="AF570" s="1147"/>
      <c r="AG570" s="426"/>
      <c r="AH570" s="426"/>
      <c r="AI570" s="426"/>
      <c r="AJ570" s="426"/>
      <c r="AK570" s="1147"/>
      <c r="AL570" s="426"/>
      <c r="AM570" s="426"/>
      <c r="AN570" s="426"/>
      <c r="AO570" s="426"/>
      <c r="AP570" s="1147"/>
      <c r="AQ570" s="426"/>
      <c r="AR570" s="426"/>
      <c r="AS570" s="426"/>
      <c r="AT570" s="426"/>
      <c r="AU570" s="1147"/>
      <c r="AV570" s="426"/>
      <c r="AW570" s="426"/>
      <c r="AX570" s="426"/>
      <c r="AY570" s="426"/>
      <c r="AZ570" s="1147"/>
      <c r="BA570" s="426"/>
      <c r="BB570" s="426"/>
      <c r="BC570" s="426"/>
      <c r="BD570" s="426"/>
      <c r="BE570" s="1147"/>
      <c r="BF570" s="426"/>
      <c r="BG570" s="426"/>
      <c r="BH570" s="487"/>
      <c r="BI570" s="159"/>
      <c r="BJ570" s="1148"/>
      <c r="BK570" s="159"/>
      <c r="BL570" s="159"/>
      <c r="BM570" s="159"/>
      <c r="BN570" s="159"/>
      <c r="BO570" s="1148"/>
      <c r="BP570" s="1147"/>
      <c r="BQ570" s="1147"/>
      <c r="BR570" s="1148"/>
      <c r="BS570" s="37"/>
    </row>
    <row r="571" spans="1:71" s="673" customFormat="1" ht="15">
      <c r="A571" s="158" t="s">
        <v>346</v>
      </c>
      <c r="B571" s="417"/>
      <c r="C571" s="1131"/>
      <c r="D571" s="1131"/>
      <c r="E571" s="1131"/>
      <c r="F571" s="1131"/>
      <c r="G571" s="1131"/>
      <c r="H571" s="419"/>
      <c r="I571" s="419"/>
      <c r="J571" s="419"/>
      <c r="K571" s="419"/>
      <c r="L571" s="1131"/>
      <c r="M571" s="419"/>
      <c r="N571" s="419"/>
      <c r="O571" s="419"/>
      <c r="P571" s="419"/>
      <c r="Q571" s="1131"/>
      <c r="R571" s="419"/>
      <c r="S571" s="419"/>
      <c r="T571" s="419"/>
      <c r="U571" s="419"/>
      <c r="V571" s="1131"/>
      <c r="W571" s="419"/>
      <c r="X571" s="419"/>
      <c r="Y571" s="419"/>
      <c r="Z571" s="419"/>
      <c r="AA571" s="1131"/>
      <c r="AB571" s="419"/>
      <c r="AC571" s="419"/>
      <c r="AD571" s="419"/>
      <c r="AE571" s="419"/>
      <c r="AF571" s="1131"/>
      <c r="AG571" s="419"/>
      <c r="AH571" s="419"/>
      <c r="AI571" s="419"/>
      <c r="AJ571" s="419"/>
      <c r="AK571" s="1131"/>
      <c r="AL571" s="419"/>
      <c r="AM571" s="419"/>
      <c r="AN571" s="419"/>
      <c r="AO571" s="419"/>
      <c r="AP571" s="1131"/>
      <c r="AQ571" s="419"/>
      <c r="AR571" s="419"/>
      <c r="AS571" s="419"/>
      <c r="AT571" s="419"/>
      <c r="AU571" s="1131"/>
      <c r="AV571" s="419"/>
      <c r="AW571" s="419"/>
      <c r="AX571" s="419"/>
      <c r="AY571" s="419"/>
      <c r="AZ571" s="1131"/>
      <c r="BA571" s="419"/>
      <c r="BB571" s="419"/>
      <c r="BC571" s="419"/>
      <c r="BD571" s="419"/>
      <c r="BE571" s="1131"/>
      <c r="BF571" s="419"/>
      <c r="BG571" s="419"/>
      <c r="BH571" s="464"/>
      <c r="BI571" s="171"/>
      <c r="BJ571" s="1133"/>
      <c r="BK571" s="171"/>
      <c r="BL571" s="171"/>
      <c r="BM571" s="171"/>
      <c r="BN571" s="171"/>
      <c r="BO571" s="1133"/>
      <c r="BP571" s="1131"/>
      <c r="BQ571" s="1131"/>
      <c r="BR571" s="1133"/>
      <c r="BS571" s="32"/>
    </row>
    <row r="572" spans="1:71" s="673" customFormat="1" ht="15">
      <c r="A572" s="114" t="s">
        <v>347</v>
      </c>
      <c r="B572" s="417"/>
      <c r="C572" s="1132">
        <v>113</v>
      </c>
      <c r="D572" s="1132">
        <v>105</v>
      </c>
      <c r="E572" s="1132">
        <v>98</v>
      </c>
      <c r="F572" s="1132">
        <v>89</v>
      </c>
      <c r="G572" s="1132">
        <v>90</v>
      </c>
      <c r="H572" s="1037">
        <v>90</v>
      </c>
      <c r="I572" s="1037">
        <v>90</v>
      </c>
      <c r="J572" s="1037">
        <v>88</v>
      </c>
      <c r="K572" s="288">
        <f>L572</f>
        <v>88</v>
      </c>
      <c r="L572" s="1132">
        <v>88</v>
      </c>
      <c r="M572" s="1037">
        <v>88</v>
      </c>
      <c r="N572" s="1037">
        <v>88</v>
      </c>
      <c r="O572" s="1037">
        <v>87</v>
      </c>
      <c r="P572" s="288">
        <f>Q572</f>
        <v>87</v>
      </c>
      <c r="Q572" s="1132">
        <v>87</v>
      </c>
      <c r="R572" s="1037">
        <v>87</v>
      </c>
      <c r="S572" s="1037">
        <v>87</v>
      </c>
      <c r="T572" s="1037">
        <v>87</v>
      </c>
      <c r="U572" s="288">
        <f>V572</f>
        <v>87</v>
      </c>
      <c r="V572" s="1132">
        <v>87</v>
      </c>
      <c r="W572" s="1037">
        <v>88</v>
      </c>
      <c r="X572" s="1037">
        <v>88</v>
      </c>
      <c r="Y572" s="1037">
        <v>88</v>
      </c>
      <c r="Z572" s="288">
        <f>AA572</f>
        <v>88</v>
      </c>
      <c r="AA572" s="1132">
        <v>88</v>
      </c>
      <c r="AB572" s="1037">
        <v>89</v>
      </c>
      <c r="AC572" s="1037">
        <v>89</v>
      </c>
      <c r="AD572" s="1037">
        <v>89</v>
      </c>
      <c r="AE572" s="288">
        <f>AF572</f>
        <v>89</v>
      </c>
      <c r="AF572" s="1132">
        <v>89</v>
      </c>
      <c r="AG572" s="1037">
        <v>90</v>
      </c>
      <c r="AH572" s="1037">
        <v>90</v>
      </c>
      <c r="AI572" s="1037">
        <v>90</v>
      </c>
      <c r="AJ572" s="288">
        <f>AK572</f>
        <v>90</v>
      </c>
      <c r="AK572" s="1132">
        <v>90</v>
      </c>
      <c r="AL572" s="1037">
        <v>90</v>
      </c>
      <c r="AM572" s="1037">
        <v>89</v>
      </c>
      <c r="AN572" s="1037">
        <v>87</v>
      </c>
      <c r="AO572" s="288">
        <f>AP572</f>
        <v>86</v>
      </c>
      <c r="AP572" s="1132">
        <v>86</v>
      </c>
      <c r="AQ572" s="1037">
        <v>85</v>
      </c>
      <c r="AR572" s="1037">
        <v>85</v>
      </c>
      <c r="AS572" s="1037">
        <v>85</v>
      </c>
      <c r="AT572" s="288">
        <f>AU572</f>
        <v>85</v>
      </c>
      <c r="AU572" s="1132">
        <v>85</v>
      </c>
      <c r="AV572" s="1037">
        <v>85</v>
      </c>
      <c r="AW572" s="1037">
        <v>85</v>
      </c>
      <c r="AX572" s="1037">
        <v>85</v>
      </c>
      <c r="AY572" s="288">
        <f>AZ572</f>
        <v>85</v>
      </c>
      <c r="AZ572" s="1132">
        <v>85</v>
      </c>
      <c r="BA572" s="1037">
        <v>85</v>
      </c>
      <c r="BB572" s="1037">
        <v>85</v>
      </c>
      <c r="BC572" s="1037">
        <v>84</v>
      </c>
      <c r="BD572" s="288">
        <f>BE572</f>
        <v>84</v>
      </c>
      <c r="BE572" s="1132">
        <v>84</v>
      </c>
      <c r="BF572" s="1037">
        <v>84</v>
      </c>
      <c r="BG572" s="1037">
        <v>84</v>
      </c>
      <c r="BH572" s="1038">
        <v>84</v>
      </c>
      <c r="BI572" s="171">
        <f t="shared" si="1265" ref="BI572:BR572">BH572</f>
        <v>84</v>
      </c>
      <c r="BJ572" s="1133">
        <f t="shared" si="1265"/>
        <v>84</v>
      </c>
      <c r="BK572" s="171">
        <f t="shared" si="1265"/>
        <v>84</v>
      </c>
      <c r="BL572" s="171">
        <f t="shared" si="1265"/>
        <v>84</v>
      </c>
      <c r="BM572" s="171">
        <f t="shared" si="1265"/>
        <v>84</v>
      </c>
      <c r="BN572" s="171">
        <f t="shared" si="1265"/>
        <v>84</v>
      </c>
      <c r="BO572" s="1133">
        <f t="shared" si="1265"/>
        <v>84</v>
      </c>
      <c r="BP572" s="1131">
        <f t="shared" si="1265"/>
        <v>84</v>
      </c>
      <c r="BQ572" s="1131">
        <f t="shared" si="1265"/>
        <v>84</v>
      </c>
      <c r="BR572" s="1133">
        <f t="shared" si="1265"/>
        <v>84</v>
      </c>
      <c r="BS572" s="32"/>
    </row>
    <row r="573" spans="1:71" s="673" customFormat="1" ht="15">
      <c r="A573" s="114" t="s">
        <v>348</v>
      </c>
      <c r="B573" s="417"/>
      <c r="C573" s="1132">
        <v>1231</v>
      </c>
      <c r="D573" s="1132">
        <v>1166</v>
      </c>
      <c r="E573" s="1132">
        <v>1121</v>
      </c>
      <c r="F573" s="1132">
        <v>1063</v>
      </c>
      <c r="G573" s="1132">
        <v>1123</v>
      </c>
      <c r="H573" s="1037">
        <v>1138</v>
      </c>
      <c r="I573" s="1037">
        <v>1152</v>
      </c>
      <c r="J573" s="1037">
        <v>1150</v>
      </c>
      <c r="K573" s="288">
        <f>L573</f>
        <v>1152</v>
      </c>
      <c r="L573" s="1132">
        <v>1152</v>
      </c>
      <c r="M573" s="1037">
        <v>1173</v>
      </c>
      <c r="N573" s="1037">
        <v>1183</v>
      </c>
      <c r="O573" s="1037">
        <v>1195</v>
      </c>
      <c r="P573" s="288">
        <f>Q573</f>
        <v>1214</v>
      </c>
      <c r="Q573" s="1132">
        <v>1214</v>
      </c>
      <c r="R573" s="1037">
        <v>1218</v>
      </c>
      <c r="S573" s="1037">
        <v>1228</v>
      </c>
      <c r="T573" s="1037">
        <v>1242</v>
      </c>
      <c r="U573" s="288">
        <f>V573</f>
        <v>1111</v>
      </c>
      <c r="V573" s="1132">
        <v>1111</v>
      </c>
      <c r="W573" s="1037">
        <v>1138</v>
      </c>
      <c r="X573" s="1037">
        <v>1158</v>
      </c>
      <c r="Y573" s="1037">
        <v>1167</v>
      </c>
      <c r="Z573" s="288">
        <f>AA573</f>
        <v>1181</v>
      </c>
      <c r="AA573" s="1132">
        <v>1181</v>
      </c>
      <c r="AB573" s="1037">
        <v>1205</v>
      </c>
      <c r="AC573" s="1037">
        <v>1220</v>
      </c>
      <c r="AD573" s="1037">
        <v>1231</v>
      </c>
      <c r="AE573" s="288">
        <f>AF573</f>
        <v>1245</v>
      </c>
      <c r="AF573" s="1132">
        <v>1245</v>
      </c>
      <c r="AG573" s="1037">
        <v>1256</v>
      </c>
      <c r="AH573" s="1037">
        <v>1277</v>
      </c>
      <c r="AI573" s="1037">
        <v>1292</v>
      </c>
      <c r="AJ573" s="288">
        <f>AK573</f>
        <v>1307</v>
      </c>
      <c r="AK573" s="1132">
        <v>1307</v>
      </c>
      <c r="AL573" s="1037">
        <v>1309</v>
      </c>
      <c r="AM573" s="1037">
        <v>1299</v>
      </c>
      <c r="AN573" s="1037">
        <v>1283</v>
      </c>
      <c r="AO573" s="288">
        <f>AP573</f>
        <v>1281</v>
      </c>
      <c r="AP573" s="1132">
        <v>1281</v>
      </c>
      <c r="AQ573" s="1037">
        <v>1279</v>
      </c>
      <c r="AR573" s="1037">
        <v>1303</v>
      </c>
      <c r="AS573" s="1037">
        <v>1315</v>
      </c>
      <c r="AT573" s="288">
        <f>AU573</f>
        <v>1330</v>
      </c>
      <c r="AU573" s="1132">
        <v>1330</v>
      </c>
      <c r="AV573" s="1037">
        <v>1340</v>
      </c>
      <c r="AW573" s="1037">
        <v>1351</v>
      </c>
      <c r="AX573" s="1037">
        <v>1358</v>
      </c>
      <c r="AY573" s="288">
        <f>AZ573</f>
        <v>1368</v>
      </c>
      <c r="AZ573" s="1132">
        <v>1368</v>
      </c>
      <c r="BA573" s="1037">
        <v>1374</v>
      </c>
      <c r="BB573" s="1037">
        <v>1377</v>
      </c>
      <c r="BC573" s="1037">
        <v>1372</v>
      </c>
      <c r="BD573" s="288">
        <f>BE573</f>
        <v>1372</v>
      </c>
      <c r="BE573" s="1132">
        <v>1372</v>
      </c>
      <c r="BF573" s="1037">
        <v>1382</v>
      </c>
      <c r="BG573" s="1037">
        <v>1392</v>
      </c>
      <c r="BH573" s="1038">
        <v>1400</v>
      </c>
      <c r="BI573" s="171">
        <f>BH573+BI512</f>
        <v>1400</v>
      </c>
      <c r="BJ573" s="1133">
        <f>BI573</f>
        <v>1400</v>
      </c>
      <c r="BK573" s="171">
        <f>BJ573+BK512</f>
        <v>1400</v>
      </c>
      <c r="BL573" s="171">
        <f>BK573+BL512</f>
        <v>1400</v>
      </c>
      <c r="BM573" s="171">
        <f>BL573+BM512</f>
        <v>1400</v>
      </c>
      <c r="BN573" s="171">
        <f>BM573+BN512</f>
        <v>1400</v>
      </c>
      <c r="BO573" s="1133">
        <f>BN573</f>
        <v>1400</v>
      </c>
      <c r="BP573" s="1131">
        <f>BO573+BP512</f>
        <v>1400</v>
      </c>
      <c r="BQ573" s="1131">
        <f>BP573+BQ512</f>
        <v>1400</v>
      </c>
      <c r="BR573" s="1133">
        <f>BQ573+BR512</f>
        <v>1400</v>
      </c>
      <c r="BS573" s="32"/>
    </row>
    <row r="574" spans="1:71" s="673" customFormat="1" ht="15">
      <c r="A574" s="114" t="s">
        <v>349</v>
      </c>
      <c r="B574" s="417"/>
      <c r="C574" s="1132">
        <v>0</v>
      </c>
      <c r="D574" s="1132">
        <v>197</v>
      </c>
      <c r="E574" s="1132">
        <v>173</v>
      </c>
      <c r="F574" s="1132">
        <v>75</v>
      </c>
      <c r="G574" s="1132">
        <v>49</v>
      </c>
      <c r="H574" s="1037">
        <v>49</v>
      </c>
      <c r="I574" s="1037">
        <v>31</v>
      </c>
      <c r="J574" s="1037">
        <v>2</v>
      </c>
      <c r="K574" s="288">
        <f>L574</f>
        <v>-2</v>
      </c>
      <c r="L574" s="1132">
        <v>-2</v>
      </c>
      <c r="M574" s="1037">
        <v>0</v>
      </c>
      <c r="N574" s="1037">
        <v>0</v>
      </c>
      <c r="O574" s="1037">
        <v>0</v>
      </c>
      <c r="P574" s="288">
        <f>Q574</f>
        <v>0</v>
      </c>
      <c r="Q574" s="1131"/>
      <c r="R574" s="419"/>
      <c r="S574" s="419"/>
      <c r="T574" s="419"/>
      <c r="U574" s="288">
        <f>V574</f>
        <v>0</v>
      </c>
      <c r="V574" s="1131"/>
      <c r="W574" s="419"/>
      <c r="X574" s="1037">
        <v>0</v>
      </c>
      <c r="Y574" s="419"/>
      <c r="Z574" s="288">
        <f>AA574</f>
        <v>0</v>
      </c>
      <c r="AA574" s="1131"/>
      <c r="AB574" s="419"/>
      <c r="AC574" s="419"/>
      <c r="AD574" s="419"/>
      <c r="AE574" s="288">
        <f>AF574</f>
        <v>0</v>
      </c>
      <c r="AF574" s="1131"/>
      <c r="AG574" s="419"/>
      <c r="AH574" s="419"/>
      <c r="AI574" s="419"/>
      <c r="AJ574" s="288">
        <f>AK574</f>
        <v>0</v>
      </c>
      <c r="AK574" s="1131"/>
      <c r="AL574" s="419"/>
      <c r="AM574" s="419"/>
      <c r="AN574" s="419"/>
      <c r="AO574" s="288">
        <f>AP574</f>
        <v>0</v>
      </c>
      <c r="AP574" s="1131"/>
      <c r="AQ574" s="419"/>
      <c r="AR574" s="419"/>
      <c r="AS574" s="419"/>
      <c r="AT574" s="288">
        <f>AU574</f>
        <v>0</v>
      </c>
      <c r="AU574" s="1131"/>
      <c r="AV574" s="419"/>
      <c r="AW574" s="419"/>
      <c r="AX574" s="419"/>
      <c r="AY574" s="288">
        <f>AZ574</f>
        <v>0</v>
      </c>
      <c r="AZ574" s="1131"/>
      <c r="BA574" s="419"/>
      <c r="BB574" s="419"/>
      <c r="BC574" s="419"/>
      <c r="BD574" s="288">
        <f>BE574</f>
        <v>0</v>
      </c>
      <c r="BE574" s="1131"/>
      <c r="BF574" s="419"/>
      <c r="BG574" s="419"/>
      <c r="BH574" s="464"/>
      <c r="BI574" s="171">
        <f>BH574</f>
        <v>0</v>
      </c>
      <c r="BJ574" s="1133">
        <f>BI574</f>
        <v>0</v>
      </c>
      <c r="BK574" s="171">
        <f>BJ574</f>
        <v>0</v>
      </c>
      <c r="BL574" s="171">
        <f>BK574</f>
        <v>0</v>
      </c>
      <c r="BM574" s="171">
        <f>BL574</f>
        <v>0</v>
      </c>
      <c r="BN574" s="171">
        <f>BM574</f>
        <v>0</v>
      </c>
      <c r="BO574" s="1133">
        <f>BN574</f>
        <v>0</v>
      </c>
      <c r="BP574" s="1131">
        <f>BO574</f>
        <v>0</v>
      </c>
      <c r="BQ574" s="1131">
        <f>BP574</f>
        <v>0</v>
      </c>
      <c r="BR574" s="1133">
        <f>BQ574</f>
        <v>0</v>
      </c>
      <c r="BS574" s="32"/>
    </row>
    <row r="575" spans="1:71" s="673" customFormat="1" ht="15">
      <c r="A575" s="114" t="s">
        <v>350</v>
      </c>
      <c r="B575" s="417"/>
      <c r="C575" s="1132">
        <v>2274</v>
      </c>
      <c r="D575" s="1132">
        <v>2368</v>
      </c>
      <c r="E575" s="1132">
        <v>2439</v>
      </c>
      <c r="F575" s="1132">
        <v>2520</v>
      </c>
      <c r="G575" s="1132">
        <v>2777</v>
      </c>
      <c r="H575" s="1037">
        <v>2842</v>
      </c>
      <c r="I575" s="1037">
        <v>2913</v>
      </c>
      <c r="J575" s="1037">
        <v>2946</v>
      </c>
      <c r="K575" s="288">
        <f>L575</f>
        <v>2914</v>
      </c>
      <c r="L575" s="1132">
        <v>2914</v>
      </c>
      <c r="M575" s="1037">
        <v>2886</v>
      </c>
      <c r="N575" s="1037">
        <v>2968</v>
      </c>
      <c r="O575" s="1037">
        <v>2981</v>
      </c>
      <c r="P575" s="288">
        <f>Q575</f>
        <v>2987</v>
      </c>
      <c r="Q575" s="1132">
        <v>2987</v>
      </c>
      <c r="R575" s="1037">
        <v>3002</v>
      </c>
      <c r="S575" s="1037">
        <v>3016</v>
      </c>
      <c r="T575" s="1037">
        <v>3079</v>
      </c>
      <c r="U575" s="288">
        <f>V575</f>
        <v>3343</v>
      </c>
      <c r="V575" s="1132">
        <v>3343</v>
      </c>
      <c r="W575" s="1037">
        <v>3466</v>
      </c>
      <c r="X575" s="1037">
        <v>3451</v>
      </c>
      <c r="Y575" s="1037">
        <v>3435</v>
      </c>
      <c r="Z575" s="288">
        <f>AA575</f>
        <v>3248</v>
      </c>
      <c r="AA575" s="1132">
        <v>3248</v>
      </c>
      <c r="AB575" s="1037">
        <v>3584</v>
      </c>
      <c r="AC575" s="1037">
        <v>3628</v>
      </c>
      <c r="AD575" s="1037">
        <v>3800</v>
      </c>
      <c r="AE575" s="288">
        <f>AF575</f>
        <v>3588</v>
      </c>
      <c r="AF575" s="1132">
        <v>3588</v>
      </c>
      <c r="AG575" s="1037">
        <v>3875</v>
      </c>
      <c r="AH575" s="1037">
        <v>3914</v>
      </c>
      <c r="AI575" s="1037">
        <v>4022</v>
      </c>
      <c r="AJ575" s="288">
        <f>AK575</f>
        <v>4009</v>
      </c>
      <c r="AK575" s="1132">
        <v>4009</v>
      </c>
      <c r="AL575" s="1037">
        <v>3616</v>
      </c>
      <c r="AM575" s="1037">
        <v>3685</v>
      </c>
      <c r="AN575" s="1037">
        <v>3737</v>
      </c>
      <c r="AO575" s="288">
        <f>AP575</f>
        <v>4149</v>
      </c>
      <c r="AP575" s="1132">
        <v>4149</v>
      </c>
      <c r="AQ575" s="1037">
        <v>4354</v>
      </c>
      <c r="AR575" s="1037">
        <v>4023</v>
      </c>
      <c r="AS575" s="1037">
        <v>3680</v>
      </c>
      <c r="AT575" s="288">
        <f>AU575</f>
        <v>3478</v>
      </c>
      <c r="AU575" s="1132">
        <v>3478</v>
      </c>
      <c r="AV575" s="1037">
        <v>3541</v>
      </c>
      <c r="AW575" s="1037">
        <v>2979</v>
      </c>
      <c r="AX575" s="1037">
        <v>3091</v>
      </c>
      <c r="AY575" s="288">
        <f>AZ575</f>
        <v>3142</v>
      </c>
      <c r="AZ575" s="1132">
        <v>3142</v>
      </c>
      <c r="BA575" s="1037">
        <v>2933</v>
      </c>
      <c r="BB575" s="1037">
        <v>3042</v>
      </c>
      <c r="BC575" s="1037">
        <v>3095</v>
      </c>
      <c r="BD575" s="288">
        <f>BE575</f>
        <v>3121</v>
      </c>
      <c r="BE575" s="1132">
        <v>3121</v>
      </c>
      <c r="BF575" s="1037">
        <v>3089</v>
      </c>
      <c r="BG575" s="1037">
        <v>3239</v>
      </c>
      <c r="BH575" s="1038">
        <v>3360</v>
      </c>
      <c r="BI575" s="171">
        <f ca="1">BH575+BI461+BI513-BI283</f>
        <v>3272.67545724918</v>
      </c>
      <c r="BJ575" s="1133">
        <f ca="1">BI575</f>
        <v>3272.67545724918</v>
      </c>
      <c r="BK575" s="171">
        <f ca="1">BJ575+BK461+BK513-BK283</f>
        <v>3498.8986861986323</v>
      </c>
      <c r="BL575" s="171">
        <f ca="1">BK575+BL461+BL513-BL283</f>
        <v>3691.5323808194544</v>
      </c>
      <c r="BM575" s="171">
        <f ca="1">BL575+BM461+BM513-BM283</f>
        <v>3904.2102564467145</v>
      </c>
      <c r="BN575" s="171">
        <f ca="1">BM575+BN461+BN513-BN283</f>
        <v>4174.2529836825224</v>
      </c>
      <c r="BO575" s="1133">
        <f ca="1">BN575</f>
        <v>4174.2529836825224</v>
      </c>
      <c r="BP575" s="1131">
        <f ca="1">BO575+BP461+BP513-BP283</f>
        <v>5168.396020882119</v>
      </c>
      <c r="BQ575" s="1131">
        <f ca="1">BP575+BQ461+BQ513-BQ283</f>
        <v>6464.1070254876158</v>
      </c>
      <c r="BR575" s="1133">
        <f ca="1">BQ575+BR461+BR513-BR283</f>
        <v>7831.2655358805368</v>
      </c>
      <c r="BS575" s="32"/>
    </row>
    <row r="576" spans="1:71" s="673" customFormat="1" ht="15">
      <c r="A576" s="115" t="s">
        <v>351</v>
      </c>
      <c r="B576" s="511"/>
      <c r="C576" s="1135">
        <v>163</v>
      </c>
      <c r="D576" s="1135">
        <v>495</v>
      </c>
      <c r="E576" s="1135">
        <v>580</v>
      </c>
      <c r="F576" s="1135">
        <v>831</v>
      </c>
      <c r="G576" s="1135">
        <v>560</v>
      </c>
      <c r="H576" s="1040">
        <v>677</v>
      </c>
      <c r="I576" s="1040">
        <v>799</v>
      </c>
      <c r="J576" s="1040">
        <v>718</v>
      </c>
      <c r="K576" s="39">
        <f>L576</f>
        <v>727</v>
      </c>
      <c r="L576" s="1135">
        <v>727</v>
      </c>
      <c r="M576" s="1040">
        <v>776</v>
      </c>
      <c r="N576" s="1040">
        <v>563</v>
      </c>
      <c r="O576" s="1040">
        <v>461</v>
      </c>
      <c r="P576" s="39">
        <f>Q576</f>
        <v>304</v>
      </c>
      <c r="Q576" s="1135">
        <v>304</v>
      </c>
      <c r="R576" s="1040">
        <v>448</v>
      </c>
      <c r="S576" s="1040">
        <v>669</v>
      </c>
      <c r="T576" s="1040">
        <v>753</v>
      </c>
      <c r="U576" s="39">
        <f>V576</f>
        <v>375</v>
      </c>
      <c r="V576" s="1135">
        <v>375</v>
      </c>
      <c r="W576" s="1040">
        <v>499</v>
      </c>
      <c r="X576" s="1040">
        <v>615</v>
      </c>
      <c r="Y576" s="1040">
        <v>689</v>
      </c>
      <c r="Z576" s="39">
        <f>AA576</f>
        <v>813</v>
      </c>
      <c r="AA576" s="1135">
        <v>813</v>
      </c>
      <c r="AB576" s="1040">
        <v>305</v>
      </c>
      <c r="AC576" s="1040">
        <v>147</v>
      </c>
      <c r="AD576" s="1040">
        <v>44</v>
      </c>
      <c r="AE576" s="39">
        <f>AF576</f>
        <v>48</v>
      </c>
      <c r="AF576" s="1135">
        <v>48</v>
      </c>
      <c r="AG576" s="1040">
        <v>444</v>
      </c>
      <c r="AH576" s="1040">
        <v>809</v>
      </c>
      <c r="AI576" s="1040">
        <v>917</v>
      </c>
      <c r="AJ576" s="39">
        <f>AK576</f>
        <v>863</v>
      </c>
      <c r="AK576" s="1135">
        <v>863</v>
      </c>
      <c r="AL576" s="1040">
        <v>32</v>
      </c>
      <c r="AM576" s="1040">
        <v>1053</v>
      </c>
      <c r="AN576" s="1040">
        <v>1233</v>
      </c>
      <c r="AO576" s="39">
        <f>AP576</f>
        <v>1273</v>
      </c>
      <c r="AP576" s="1135">
        <v>1273</v>
      </c>
      <c r="AQ576" s="1040">
        <v>967</v>
      </c>
      <c r="AR576" s="1040">
        <f>205-15</f>
        <v>190</v>
      </c>
      <c r="AS576" s="1040">
        <f>178-18</f>
        <v>160</v>
      </c>
      <c r="AT576" s="39">
        <f>AU576</f>
        <v>119</v>
      </c>
      <c r="AU576" s="1135">
        <v>119</v>
      </c>
      <c r="AV576" s="1040">
        <v>-131</v>
      </c>
      <c r="AW576" s="1040">
        <f>-326-8-14</f>
        <v>-348</v>
      </c>
      <c r="AX576" s="1040">
        <f>-554-29-19</f>
        <v>-602</v>
      </c>
      <c r="AY576" s="39">
        <f>AZ576</f>
        <v>-543</v>
      </c>
      <c r="AZ576" s="1135">
        <f>-497-29-17</f>
        <v>-543</v>
      </c>
      <c r="BA576" s="1040">
        <f>-413-21-17</f>
        <v>-451</v>
      </c>
      <c r="BB576" s="1040">
        <f>-464-33-14</f>
        <v>-511</v>
      </c>
      <c r="BC576" s="1040">
        <v>-570</v>
      </c>
      <c r="BD576" s="288">
        <f>BE576</f>
        <v>-319</v>
      </c>
      <c r="BE576" s="1132">
        <f>-287-17-15</f>
        <v>-319</v>
      </c>
      <c r="BF576" s="1040">
        <f>-278-22-15</f>
        <v>-315</v>
      </c>
      <c r="BG576" s="1040">
        <f>-290-20-21</f>
        <v>-331</v>
      </c>
      <c r="BH576" s="1044">
        <v>-136</v>
      </c>
      <c r="BI576" s="363">
        <f>BH576</f>
        <v>-136</v>
      </c>
      <c r="BJ576" s="1134">
        <f>BI576</f>
        <v>-136</v>
      </c>
      <c r="BK576" s="363">
        <f>BJ576</f>
        <v>-136</v>
      </c>
      <c r="BL576" s="363">
        <f>BK576</f>
        <v>-136</v>
      </c>
      <c r="BM576" s="363">
        <f>BL576</f>
        <v>-136</v>
      </c>
      <c r="BN576" s="363">
        <f>BM576</f>
        <v>-136</v>
      </c>
      <c r="BO576" s="1134">
        <f>BN576</f>
        <v>-136</v>
      </c>
      <c r="BP576" s="1134">
        <f>BO576</f>
        <v>-136</v>
      </c>
      <c r="BQ576" s="1134">
        <f>BP576</f>
        <v>-136</v>
      </c>
      <c r="BR576" s="1134">
        <f>BQ576</f>
        <v>-136</v>
      </c>
      <c r="BS576" s="32"/>
    </row>
    <row r="577" spans="1:71" s="674" customFormat="1" ht="15">
      <c r="A577" s="100" t="s">
        <v>352</v>
      </c>
      <c r="B577" s="516"/>
      <c r="C577" s="1138">
        <f t="shared" si="1266" ref="C577:AK577">SUM(C572:C576)</f>
        <v>3781</v>
      </c>
      <c r="D577" s="1138">
        <f t="shared" si="1266"/>
        <v>4331</v>
      </c>
      <c r="E577" s="1138">
        <f t="shared" si="1266"/>
        <v>4411</v>
      </c>
      <c r="F577" s="1138">
        <f t="shared" si="1266"/>
        <v>4578</v>
      </c>
      <c r="G577" s="1138">
        <f t="shared" si="1266"/>
        <v>4599</v>
      </c>
      <c r="H577" s="96">
        <f t="shared" si="1266"/>
        <v>4796</v>
      </c>
      <c r="I577" s="96">
        <f t="shared" si="1266"/>
        <v>4985</v>
      </c>
      <c r="J577" s="96">
        <f t="shared" si="1266"/>
        <v>4904</v>
      </c>
      <c r="K577" s="96">
        <f t="shared" si="1266"/>
        <v>4879</v>
      </c>
      <c r="L577" s="1138">
        <f t="shared" si="1266"/>
        <v>4879</v>
      </c>
      <c r="M577" s="96">
        <f t="shared" si="1266"/>
        <v>4923</v>
      </c>
      <c r="N577" s="96">
        <f t="shared" si="1266"/>
        <v>4802</v>
      </c>
      <c r="O577" s="96">
        <f t="shared" si="1266"/>
        <v>4724</v>
      </c>
      <c r="P577" s="96">
        <f t="shared" si="1266"/>
        <v>4592</v>
      </c>
      <c r="Q577" s="1138">
        <f t="shared" si="1266"/>
        <v>4592</v>
      </c>
      <c r="R577" s="96">
        <f t="shared" si="1266"/>
        <v>4755</v>
      </c>
      <c r="S577" s="96">
        <f t="shared" si="1266"/>
        <v>5000</v>
      </c>
      <c r="T577" s="96">
        <f t="shared" si="1266"/>
        <v>5161</v>
      </c>
      <c r="U577" s="96">
        <f t="shared" si="1266"/>
        <v>4916</v>
      </c>
      <c r="V577" s="1138">
        <f t="shared" si="1266"/>
        <v>4916</v>
      </c>
      <c r="W577" s="96">
        <f t="shared" si="1266"/>
        <v>5191</v>
      </c>
      <c r="X577" s="96">
        <f t="shared" si="1266"/>
        <v>5312</v>
      </c>
      <c r="Y577" s="96">
        <f t="shared" si="1266"/>
        <v>5379</v>
      </c>
      <c r="Z577" s="96">
        <f t="shared" si="1266"/>
        <v>5330</v>
      </c>
      <c r="AA577" s="1138">
        <f t="shared" si="1266"/>
        <v>5330</v>
      </c>
      <c r="AB577" s="96">
        <f t="shared" si="1266"/>
        <v>5183</v>
      </c>
      <c r="AC577" s="96">
        <f t="shared" si="1266"/>
        <v>5084</v>
      </c>
      <c r="AD577" s="96">
        <f t="shared" si="1266"/>
        <v>5164</v>
      </c>
      <c r="AE577" s="96">
        <f t="shared" si="1266"/>
        <v>4970</v>
      </c>
      <c r="AF577" s="1138">
        <f t="shared" si="1266"/>
        <v>4970</v>
      </c>
      <c r="AG577" s="96">
        <f t="shared" si="1266"/>
        <v>5665</v>
      </c>
      <c r="AH577" s="96">
        <f t="shared" si="1266"/>
        <v>6090</v>
      </c>
      <c r="AI577" s="96">
        <f t="shared" si="1266"/>
        <v>6321</v>
      </c>
      <c r="AJ577" s="96">
        <f t="shared" si="1266"/>
        <v>6269</v>
      </c>
      <c r="AK577" s="1138">
        <f t="shared" si="1266"/>
        <v>6269</v>
      </c>
      <c r="AL577" s="96">
        <f t="shared" si="1267" ref="AL577:AQ577">SUM(AL572:AL576)</f>
        <v>5047</v>
      </c>
      <c r="AM577" s="96">
        <f t="shared" si="1267"/>
        <v>6126</v>
      </c>
      <c r="AN577" s="96">
        <f t="shared" si="1267"/>
        <v>6340</v>
      </c>
      <c r="AO577" s="96">
        <f t="shared" si="1267"/>
        <v>6789</v>
      </c>
      <c r="AP577" s="1138">
        <f t="shared" si="1267"/>
        <v>6789</v>
      </c>
      <c r="AQ577" s="96">
        <f t="shared" si="1267"/>
        <v>6685</v>
      </c>
      <c r="AR577" s="96">
        <f t="shared" si="1268" ref="AR577:AW577">SUM(AR572:AR576)</f>
        <v>5601</v>
      </c>
      <c r="AS577" s="96">
        <f t="shared" si="1268"/>
        <v>5240</v>
      </c>
      <c r="AT577" s="96">
        <f t="shared" si="1268"/>
        <v>5012</v>
      </c>
      <c r="AU577" s="1138">
        <f t="shared" si="1268"/>
        <v>5012</v>
      </c>
      <c r="AV577" s="96">
        <f t="shared" si="1268"/>
        <v>4835</v>
      </c>
      <c r="AW577" s="96">
        <f t="shared" si="1268"/>
        <v>4067</v>
      </c>
      <c r="AX577" s="96">
        <f t="shared" si="1269" ref="AX577:BJ577">SUM(AX572:AX576)</f>
        <v>3932</v>
      </c>
      <c r="AY577" s="96">
        <f t="shared" si="1269"/>
        <v>4052</v>
      </c>
      <c r="AZ577" s="1138">
        <f t="shared" si="1269"/>
        <v>4052</v>
      </c>
      <c r="BA577" s="96">
        <f t="shared" si="1270" ref="BA577:BI577">SUM(BA572:BA576)</f>
        <v>3941</v>
      </c>
      <c r="BB577" s="96">
        <f t="shared" si="1270"/>
        <v>3993</v>
      </c>
      <c r="BC577" s="96">
        <f t="shared" si="1270"/>
        <v>3981</v>
      </c>
      <c r="BD577" s="96">
        <f t="shared" si="1270"/>
        <v>4258</v>
      </c>
      <c r="BE577" s="1138">
        <f t="shared" si="1270"/>
        <v>4258</v>
      </c>
      <c r="BF577" s="96">
        <f>SUM(BF572:BF576)</f>
        <v>4240</v>
      </c>
      <c r="BG577" s="96">
        <f>SUM(BG572:BG576)</f>
        <v>4384</v>
      </c>
      <c r="BH577" s="874">
        <f>SUM(BH572:BH576)</f>
        <v>4708</v>
      </c>
      <c r="BI577" s="596">
        <f t="shared" ca="1" si="1270"/>
        <v>4620.67545724918</v>
      </c>
      <c r="BJ577" s="1139">
        <f t="shared" ca="1" si="1269"/>
        <v>4620.67545724918</v>
      </c>
      <c r="BK577" s="596">
        <f ca="1" t="shared" si="1271" ref="BK577:BR577">SUM(BK572:BK576)</f>
        <v>4846.8986861986323</v>
      </c>
      <c r="BL577" s="596">
        <f t="shared" ca="1" si="1271"/>
        <v>5039.5323808194544</v>
      </c>
      <c r="BM577" s="596">
        <f t="shared" ca="1" si="1271"/>
        <v>5252.210256446715</v>
      </c>
      <c r="BN577" s="596">
        <f t="shared" ca="1" si="1271"/>
        <v>5522.2529836825224</v>
      </c>
      <c r="BO577" s="1139">
        <f t="shared" ca="1" si="1271"/>
        <v>5522.2529836825224</v>
      </c>
      <c r="BP577" s="1139">
        <f t="shared" ca="1" si="1271"/>
        <v>6516.396020882119</v>
      </c>
      <c r="BQ577" s="1139">
        <f t="shared" ca="1" si="1271"/>
        <v>7812.1070254876158</v>
      </c>
      <c r="BR577" s="1139">
        <f t="shared" ca="1" si="1271"/>
        <v>9179.2655358805368</v>
      </c>
      <c r="BS577" s="37"/>
    </row>
    <row r="578" spans="1:71" s="673" customFormat="1" ht="15">
      <c r="A578" s="114" t="s">
        <v>353</v>
      </c>
      <c r="B578" s="417"/>
      <c r="C578" s="1132">
        <v>138</v>
      </c>
      <c r="D578" s="1132">
        <v>150</v>
      </c>
      <c r="E578" s="1132">
        <v>146</v>
      </c>
      <c r="F578" s="1132">
        <v>170</v>
      </c>
      <c r="G578" s="1132">
        <v>170</v>
      </c>
      <c r="H578" s="1037">
        <v>177</v>
      </c>
      <c r="I578" s="1037">
        <v>173</v>
      </c>
      <c r="J578" s="1037">
        <v>174</v>
      </c>
      <c r="K578" s="288">
        <f>L578</f>
        <v>175</v>
      </c>
      <c r="L578" s="1132">
        <v>175</v>
      </c>
      <c r="M578" s="1037">
        <v>177</v>
      </c>
      <c r="N578" s="1037">
        <v>182</v>
      </c>
      <c r="O578" s="1037">
        <v>182</v>
      </c>
      <c r="P578" s="288">
        <f>Q578</f>
        <v>178</v>
      </c>
      <c r="Q578" s="1132">
        <v>178</v>
      </c>
      <c r="R578" s="1037">
        <v>182</v>
      </c>
      <c r="S578" s="1037">
        <v>193</v>
      </c>
      <c r="T578" s="1037">
        <v>197</v>
      </c>
      <c r="U578" s="288">
        <f>V578</f>
        <v>3</v>
      </c>
      <c r="V578" s="1132">
        <v>3</v>
      </c>
      <c r="W578" s="1037">
        <v>4</v>
      </c>
      <c r="X578" s="1037">
        <v>0</v>
      </c>
      <c r="Y578" s="1037">
        <v>0</v>
      </c>
      <c r="Z578" s="288">
        <f>AA578</f>
        <v>1</v>
      </c>
      <c r="AA578" s="1132">
        <v>1</v>
      </c>
      <c r="AB578" s="1037">
        <v>0</v>
      </c>
      <c r="AC578" s="1037">
        <v>0</v>
      </c>
      <c r="AD578" s="1037">
        <v>0</v>
      </c>
      <c r="AE578" s="288">
        <f>AF578</f>
        <v>2</v>
      </c>
      <c r="AF578" s="1132">
        <v>2</v>
      </c>
      <c r="AG578" s="1037">
        <v>0</v>
      </c>
      <c r="AH578" s="419"/>
      <c r="AI578" s="419"/>
      <c r="AJ578" s="288">
        <f>AK578</f>
        <v>0</v>
      </c>
      <c r="AK578" s="1132">
        <v>0</v>
      </c>
      <c r="AL578" s="1037">
        <v>0</v>
      </c>
      <c r="AM578" s="419"/>
      <c r="AN578" s="419"/>
      <c r="AO578" s="288">
        <f>AP578</f>
        <v>0</v>
      </c>
      <c r="AP578" s="1132">
        <v>0</v>
      </c>
      <c r="AQ578" s="419"/>
      <c r="AR578" s="419"/>
      <c r="AS578" s="419"/>
      <c r="AT578" s="288">
        <f>AU578</f>
        <v>0</v>
      </c>
      <c r="AU578" s="1131"/>
      <c r="AV578" s="419"/>
      <c r="AW578" s="419"/>
      <c r="AX578" s="419"/>
      <c r="AY578" s="288">
        <f>AZ578</f>
        <v>0</v>
      </c>
      <c r="AZ578" s="1131"/>
      <c r="BA578" s="419"/>
      <c r="BB578" s="419"/>
      <c r="BC578" s="419"/>
      <c r="BD578" s="288">
        <f>BE578</f>
        <v>0</v>
      </c>
      <c r="BE578" s="1131"/>
      <c r="BF578" s="419"/>
      <c r="BG578" s="419"/>
      <c r="BH578" s="464"/>
      <c r="BI578" s="171">
        <f>BH578+BI283</f>
        <v>0</v>
      </c>
      <c r="BJ578" s="1133">
        <f>BI578</f>
        <v>0</v>
      </c>
      <c r="BK578" s="171">
        <f>BJ578+BK283</f>
        <v>0</v>
      </c>
      <c r="BL578" s="171">
        <f>BK578+BL283</f>
        <v>0</v>
      </c>
      <c r="BM578" s="171">
        <f>BL578+BM283</f>
        <v>0</v>
      </c>
      <c r="BN578" s="171">
        <f>BM578+BN283</f>
        <v>0</v>
      </c>
      <c r="BO578" s="1133">
        <f>BN578</f>
        <v>0</v>
      </c>
      <c r="BP578" s="1131">
        <f>BO578+BP283</f>
        <v>0</v>
      </c>
      <c r="BQ578" s="1131">
        <f>BP578+BQ283</f>
        <v>0</v>
      </c>
      <c r="BR578" s="1133">
        <f>BQ578+BR283</f>
        <v>0</v>
      </c>
      <c r="BS578" s="32"/>
    </row>
    <row r="579" spans="1:71" s="674" customFormat="1" ht="15">
      <c r="A579" s="101" t="s">
        <v>354</v>
      </c>
      <c r="B579" s="509"/>
      <c r="C579" s="1180">
        <f t="shared" si="1272" ref="C579:AK579">C577+C568+C578</f>
        <v>27683</v>
      </c>
      <c r="D579" s="1180">
        <f t="shared" si="1272"/>
        <v>32241</v>
      </c>
      <c r="E579" s="1180">
        <f t="shared" si="1272"/>
        <v>35838</v>
      </c>
      <c r="F579" s="1180">
        <f t="shared" si="1272"/>
        <v>39171</v>
      </c>
      <c r="G579" s="1180">
        <f t="shared" si="1272"/>
        <v>42087</v>
      </c>
      <c r="H579" s="287">
        <f t="shared" si="1272"/>
        <v>42770</v>
      </c>
      <c r="I579" s="287">
        <f t="shared" si="1272"/>
        <v>45355</v>
      </c>
      <c r="J579" s="287">
        <f t="shared" si="1272"/>
        <v>46552</v>
      </c>
      <c r="K579" s="287">
        <f t="shared" si="1272"/>
        <v>47535</v>
      </c>
      <c r="L579" s="1180">
        <f t="shared" si="1272"/>
        <v>47535</v>
      </c>
      <c r="M579" s="287">
        <f t="shared" si="1272"/>
        <v>48307</v>
      </c>
      <c r="N579" s="287">
        <f t="shared" si="1272"/>
        <v>49424</v>
      </c>
      <c r="O579" s="287">
        <f t="shared" si="1272"/>
        <v>50557</v>
      </c>
      <c r="P579" s="287">
        <f t="shared" si="1272"/>
        <v>49837</v>
      </c>
      <c r="Q579" s="1180">
        <f t="shared" si="1272"/>
        <v>49837</v>
      </c>
      <c r="R579" s="287">
        <f t="shared" si="1272"/>
        <v>51038</v>
      </c>
      <c r="S579" s="287">
        <f t="shared" si="1272"/>
        <v>52733</v>
      </c>
      <c r="T579" s="287">
        <f t="shared" si="1272"/>
        <v>54845</v>
      </c>
      <c r="U579" s="287">
        <f t="shared" si="1272"/>
        <v>55072</v>
      </c>
      <c r="V579" s="1180">
        <f t="shared" si="1272"/>
        <v>55072</v>
      </c>
      <c r="W579" s="287">
        <f t="shared" si="1272"/>
        <v>57464</v>
      </c>
      <c r="X579" s="287">
        <f t="shared" si="1272"/>
        <v>58618</v>
      </c>
      <c r="Y579" s="287">
        <f t="shared" si="1272"/>
        <v>60163</v>
      </c>
      <c r="Z579" s="287">
        <f t="shared" si="1272"/>
        <v>60658</v>
      </c>
      <c r="AA579" s="1180">
        <f t="shared" si="1272"/>
        <v>60658</v>
      </c>
      <c r="AB579" s="287">
        <f t="shared" si="1272"/>
        <v>60656</v>
      </c>
      <c r="AC579" s="287">
        <f t="shared" si="1272"/>
        <v>61834</v>
      </c>
      <c r="AD579" s="287">
        <f t="shared" si="1272"/>
        <v>64190</v>
      </c>
      <c r="AE579" s="287">
        <f t="shared" si="1272"/>
        <v>63456</v>
      </c>
      <c r="AF579" s="1180">
        <f t="shared" si="1272"/>
        <v>63456</v>
      </c>
      <c r="AG579" s="287">
        <f t="shared" si="1272"/>
        <v>66132</v>
      </c>
      <c r="AH579" s="287">
        <f t="shared" si="1272"/>
        <v>67697</v>
      </c>
      <c r="AI579" s="287">
        <f t="shared" si="1272"/>
        <v>69067</v>
      </c>
      <c r="AJ579" s="287">
        <f t="shared" si="1272"/>
        <v>70130</v>
      </c>
      <c r="AK579" s="1180">
        <f t="shared" si="1272"/>
        <v>70130</v>
      </c>
      <c r="AL579" s="287">
        <f t="shared" si="1273" ref="AL579:AQ579">AL577+AL568+AL578</f>
        <v>67643</v>
      </c>
      <c r="AM579" s="287">
        <f t="shared" si="1273"/>
        <v>70867</v>
      </c>
      <c r="AN579" s="287">
        <f t="shared" si="1273"/>
        <v>73110</v>
      </c>
      <c r="AO579" s="287">
        <f t="shared" si="1273"/>
        <v>73566</v>
      </c>
      <c r="AP579" s="1180">
        <f t="shared" si="1273"/>
        <v>73566</v>
      </c>
      <c r="AQ579" s="287">
        <f t="shared" si="1273"/>
        <v>74197</v>
      </c>
      <c r="AR579" s="287">
        <f t="shared" si="1274" ref="AR579:AW579">AR577+AR568+AR578</f>
        <v>28780</v>
      </c>
      <c r="AS579" s="287">
        <f t="shared" si="1274"/>
        <v>29942</v>
      </c>
      <c r="AT579" s="287">
        <f t="shared" si="1274"/>
        <v>28939</v>
      </c>
      <c r="AU579" s="1180">
        <f t="shared" si="1274"/>
        <v>28939</v>
      </c>
      <c r="AV579" s="287">
        <f t="shared" si="1274"/>
        <v>28762</v>
      </c>
      <c r="AW579" s="287">
        <f t="shared" si="1274"/>
        <v>28084</v>
      </c>
      <c r="AX579" s="287">
        <f t="shared" si="1275" ref="AX579:BJ579">AX577+AX568+AX578</f>
        <v>29532</v>
      </c>
      <c r="AY579" s="287">
        <f t="shared" si="1275"/>
        <v>28831</v>
      </c>
      <c r="AZ579" s="1180">
        <f t="shared" si="1275"/>
        <v>28831</v>
      </c>
      <c r="BA579" s="287">
        <f t="shared" si="1276" ref="BA579:BI579">BA577+BA568+BA578</f>
        <v>28481</v>
      </c>
      <c r="BB579" s="287">
        <f t="shared" si="1276"/>
        <v>29048</v>
      </c>
      <c r="BC579" s="287">
        <f t="shared" si="1276"/>
        <v>30825</v>
      </c>
      <c r="BD579" s="287">
        <f t="shared" si="1276"/>
        <v>29787</v>
      </c>
      <c r="BE579" s="1180">
        <f t="shared" si="1276"/>
        <v>29787</v>
      </c>
      <c r="BF579" s="287">
        <f>BF577+BF568+BF578</f>
        <v>30001</v>
      </c>
      <c r="BG579" s="287">
        <f>BG577+BG568+BG578</f>
        <v>29913</v>
      </c>
      <c r="BH579" s="888">
        <f>BH577+BH568+BH578</f>
        <v>32591</v>
      </c>
      <c r="BI579" s="159">
        <f t="shared" ca="1" si="1276"/>
        <v>32867.538981249178</v>
      </c>
      <c r="BJ579" s="1148">
        <f t="shared" ca="1" si="1275"/>
        <v>32867.538981249178</v>
      </c>
      <c r="BK579" s="159">
        <f ca="1" t="shared" si="1277" ref="BK579:BR579">BK577+BK568+BK578</f>
        <v>33514.87275319863</v>
      </c>
      <c r="BL579" s="159">
        <f t="shared" ca="1" si="1277"/>
        <v>34208.129392819457</v>
      </c>
      <c r="BM579" s="159">
        <f t="shared" ca="1" si="1277"/>
        <v>35138.947826446718</v>
      </c>
      <c r="BN579" s="159">
        <f t="shared" ca="1" si="1277"/>
        <v>35868.217075682522</v>
      </c>
      <c r="BO579" s="1148">
        <f t="shared" ca="1" si="1277"/>
        <v>35868.217075682522</v>
      </c>
      <c r="BP579" s="1147">
        <f t="shared" ca="1" si="1277"/>
        <v>39048.181696882122</v>
      </c>
      <c r="BQ579" s="1147">
        <f t="shared" ca="1" si="1277"/>
        <v>42752.558486487622</v>
      </c>
      <c r="BR579" s="1148">
        <f t="shared" ca="1" si="1277"/>
        <v>46635.624753880533</v>
      </c>
      <c r="BS579" s="37"/>
    </row>
    <row r="580" spans="1:71" s="667" customFormat="1" ht="15">
      <c r="A580" s="954"/>
      <c r="B580" s="954"/>
      <c r="C580" s="971"/>
      <c r="D580" s="971"/>
      <c r="E580" s="971"/>
      <c r="F580" s="971"/>
      <c r="G580" s="971"/>
      <c r="H580" s="971"/>
      <c r="I580" s="971"/>
      <c r="J580" s="971"/>
      <c r="K580" s="971"/>
      <c r="L580" s="971"/>
      <c r="M580" s="971"/>
      <c r="N580" s="971"/>
      <c r="O580" s="971"/>
      <c r="P580" s="971"/>
      <c r="Q580" s="971"/>
      <c r="R580" s="971"/>
      <c r="S580" s="971"/>
      <c r="T580" s="971"/>
      <c r="U580" s="971"/>
      <c r="V580" s="971"/>
      <c r="W580" s="971"/>
      <c r="X580" s="971"/>
      <c r="Y580" s="971"/>
      <c r="Z580" s="971"/>
      <c r="AA580" s="971"/>
      <c r="AB580" s="971"/>
      <c r="AC580" s="971"/>
      <c r="AD580" s="971"/>
      <c r="AE580" s="971"/>
      <c r="AF580" s="971"/>
      <c r="AG580" s="971"/>
      <c r="AH580" s="971"/>
      <c r="AI580" s="971"/>
      <c r="AJ580" s="971"/>
      <c r="AK580" s="971"/>
      <c r="AL580" s="971"/>
      <c r="AM580" s="971"/>
      <c r="AN580" s="971"/>
      <c r="AO580" s="971"/>
      <c r="AP580" s="971"/>
      <c r="AQ580" s="971"/>
      <c r="AR580" s="971"/>
      <c r="AS580" s="971"/>
      <c r="AT580" s="971"/>
      <c r="AU580" s="971"/>
      <c r="AV580" s="971"/>
      <c r="AW580" s="971"/>
      <c r="AX580" s="971"/>
      <c r="AY580" s="971"/>
      <c r="AZ580" s="971"/>
      <c r="BA580" s="971"/>
      <c r="BB580" s="971"/>
      <c r="BC580" s="971"/>
      <c r="BD580" s="971"/>
      <c r="BE580" s="971"/>
      <c r="BF580" s="971"/>
      <c r="BG580" s="971"/>
      <c r="BH580" s="972"/>
      <c r="BI580" s="973"/>
      <c r="BJ580" s="973"/>
      <c r="BK580" s="973"/>
      <c r="BL580" s="973"/>
      <c r="BM580" s="973"/>
      <c r="BN580" s="973"/>
      <c r="BO580" s="973"/>
      <c r="BP580" s="971"/>
      <c r="BQ580" s="971"/>
      <c r="BR580" s="973"/>
      <c r="BS580" s="664"/>
    </row>
    <row r="581" spans="1:71" s="667" customFormat="1" ht="15">
      <c r="A581" s="18" t="s">
        <v>355</v>
      </c>
      <c r="B581" s="18"/>
      <c r="C581" s="996">
        <f t="shared" si="1278" ref="C581:AK581">ROUND(C553-C579,6)</f>
        <v>0</v>
      </c>
      <c r="D581" s="996">
        <f t="shared" si="1278"/>
        <v>0</v>
      </c>
      <c r="E581" s="996">
        <f t="shared" si="1278"/>
        <v>0</v>
      </c>
      <c r="F581" s="996">
        <f t="shared" si="1278"/>
        <v>0</v>
      </c>
      <c r="G581" s="996">
        <f t="shared" si="1278"/>
        <v>0</v>
      </c>
      <c r="H581" s="996">
        <f t="shared" si="1278"/>
        <v>0</v>
      </c>
      <c r="I581" s="996">
        <f t="shared" si="1278"/>
        <v>0</v>
      </c>
      <c r="J581" s="996">
        <f t="shared" si="1278"/>
        <v>0</v>
      </c>
      <c r="K581" s="996">
        <f t="shared" si="1278"/>
        <v>0</v>
      </c>
      <c r="L581" s="996">
        <f t="shared" si="1278"/>
        <v>0</v>
      </c>
      <c r="M581" s="996">
        <f t="shared" si="1278"/>
        <v>0</v>
      </c>
      <c r="N581" s="996">
        <f t="shared" si="1278"/>
        <v>0</v>
      </c>
      <c r="O581" s="996">
        <f t="shared" si="1278"/>
        <v>0</v>
      </c>
      <c r="P581" s="996">
        <f t="shared" si="1278"/>
        <v>0</v>
      </c>
      <c r="Q581" s="996">
        <f t="shared" si="1278"/>
        <v>0</v>
      </c>
      <c r="R581" s="996">
        <f t="shared" si="1278"/>
        <v>0</v>
      </c>
      <c r="S581" s="996">
        <f t="shared" si="1278"/>
        <v>0</v>
      </c>
      <c r="T581" s="996">
        <f t="shared" si="1278"/>
        <v>0</v>
      </c>
      <c r="U581" s="996">
        <f t="shared" si="1278"/>
        <v>0</v>
      </c>
      <c r="V581" s="996">
        <f t="shared" si="1278"/>
        <v>0</v>
      </c>
      <c r="W581" s="996">
        <f t="shared" si="1278"/>
        <v>0</v>
      </c>
      <c r="X581" s="996">
        <f t="shared" si="1278"/>
        <v>0</v>
      </c>
      <c r="Y581" s="996">
        <f t="shared" si="1278"/>
        <v>0</v>
      </c>
      <c r="Z581" s="996">
        <f t="shared" si="1278"/>
        <v>0</v>
      </c>
      <c r="AA581" s="996">
        <f t="shared" si="1278"/>
        <v>0</v>
      </c>
      <c r="AB581" s="996">
        <f t="shared" si="1278"/>
        <v>0</v>
      </c>
      <c r="AC581" s="996">
        <f t="shared" si="1278"/>
        <v>0</v>
      </c>
      <c r="AD581" s="996">
        <f t="shared" si="1278"/>
        <v>0</v>
      </c>
      <c r="AE581" s="996">
        <f t="shared" si="1278"/>
        <v>0</v>
      </c>
      <c r="AF581" s="996">
        <f t="shared" si="1278"/>
        <v>0</v>
      </c>
      <c r="AG581" s="996">
        <f t="shared" si="1278"/>
        <v>0</v>
      </c>
      <c r="AH581" s="996">
        <f t="shared" si="1278"/>
        <v>0</v>
      </c>
      <c r="AI581" s="996">
        <f t="shared" si="1278"/>
        <v>0</v>
      </c>
      <c r="AJ581" s="996">
        <f t="shared" si="1278"/>
        <v>0</v>
      </c>
      <c r="AK581" s="996">
        <f t="shared" si="1278"/>
        <v>0</v>
      </c>
      <c r="AL581" s="996">
        <f t="shared" si="1279" ref="AL581:AQ581">ROUND(AL553-AL579,6)</f>
        <v>0</v>
      </c>
      <c r="AM581" s="996">
        <f t="shared" si="1279"/>
        <v>0</v>
      </c>
      <c r="AN581" s="996">
        <f t="shared" si="1279"/>
        <v>0</v>
      </c>
      <c r="AO581" s="996">
        <f t="shared" si="1279"/>
        <v>0</v>
      </c>
      <c r="AP581" s="996">
        <f t="shared" si="1279"/>
        <v>0</v>
      </c>
      <c r="AQ581" s="996">
        <f t="shared" si="1279"/>
        <v>0</v>
      </c>
      <c r="AR581" s="996">
        <f t="shared" si="1280" ref="AR581:AW581">ROUND(AR553-AR579,6)</f>
        <v>0</v>
      </c>
      <c r="AS581" s="996">
        <f t="shared" si="1280"/>
        <v>0</v>
      </c>
      <c r="AT581" s="996">
        <f t="shared" si="1280"/>
        <v>0</v>
      </c>
      <c r="AU581" s="996">
        <f t="shared" si="1280"/>
        <v>0</v>
      </c>
      <c r="AV581" s="996">
        <f t="shared" si="1280"/>
        <v>0</v>
      </c>
      <c r="AW581" s="996">
        <f t="shared" si="1280"/>
        <v>0</v>
      </c>
      <c r="AX581" s="996">
        <f t="shared" si="1281" ref="AX581:BJ581">ROUND(AX553-AX579,6)</f>
        <v>0</v>
      </c>
      <c r="AY581" s="996">
        <f t="shared" si="1281"/>
        <v>0</v>
      </c>
      <c r="AZ581" s="996">
        <f t="shared" si="1281"/>
        <v>0</v>
      </c>
      <c r="BA581" s="996">
        <f t="shared" si="1282" ref="BA581:BI581">ROUND(BA553-BA579,6)</f>
        <v>0</v>
      </c>
      <c r="BB581" s="996">
        <f t="shared" si="1282"/>
        <v>0</v>
      </c>
      <c r="BC581" s="996">
        <f t="shared" si="1282"/>
        <v>0</v>
      </c>
      <c r="BD581" s="996">
        <f t="shared" si="1282"/>
        <v>0</v>
      </c>
      <c r="BE581" s="996">
        <f t="shared" si="1282"/>
        <v>0</v>
      </c>
      <c r="BF581" s="996">
        <f>ROUND(BF553-BF579,6)</f>
        <v>0</v>
      </c>
      <c r="BG581" s="996">
        <f>ROUND(BG553-BG579,6)</f>
        <v>0</v>
      </c>
      <c r="BH581" s="997">
        <f>ROUND(BH553-BH579,6)</f>
        <v>0</v>
      </c>
      <c r="BI581" s="998">
        <f t="shared" ca="1" si="1282"/>
        <v>0</v>
      </c>
      <c r="BJ581" s="998">
        <f t="shared" ca="1" si="1281"/>
        <v>0</v>
      </c>
      <c r="BK581" s="998">
        <f ca="1" t="shared" si="1283" ref="BK581:BR581">ROUND(BK553-BK579,6)</f>
        <v>0</v>
      </c>
      <c r="BL581" s="998">
        <f t="shared" ca="1" si="1283"/>
        <v>0</v>
      </c>
      <c r="BM581" s="998">
        <f t="shared" ca="1" si="1283"/>
        <v>0</v>
      </c>
      <c r="BN581" s="998">
        <f t="shared" ca="1" si="1283"/>
        <v>0</v>
      </c>
      <c r="BO581" s="998">
        <f t="shared" ca="1" si="1283"/>
        <v>0</v>
      </c>
      <c r="BP581" s="996">
        <f t="shared" ca="1" si="1283"/>
        <v>0</v>
      </c>
      <c r="BQ581" s="996">
        <f t="shared" ca="1" si="1283"/>
        <v>0</v>
      </c>
      <c r="BR581" s="998">
        <f t="shared" ca="1" si="1283"/>
        <v>0</v>
      </c>
      <c r="BS581" s="664"/>
    </row>
    <row r="582" spans="1:71" s="667" customFormat="1" ht="15">
      <c r="A582" s="954"/>
      <c r="B582" s="954"/>
      <c r="C582" s="971"/>
      <c r="D582" s="971"/>
      <c r="E582" s="971"/>
      <c r="F582" s="971"/>
      <c r="G582" s="971"/>
      <c r="H582" s="971"/>
      <c r="I582" s="971"/>
      <c r="J582" s="971"/>
      <c r="K582" s="971"/>
      <c r="L582" s="971"/>
      <c r="M582" s="971"/>
      <c r="N582" s="971"/>
      <c r="O582" s="971"/>
      <c r="P582" s="971"/>
      <c r="Q582" s="971"/>
      <c r="R582" s="971"/>
      <c r="S582" s="971"/>
      <c r="T582" s="971"/>
      <c r="U582" s="971"/>
      <c r="V582" s="971"/>
      <c r="W582" s="971"/>
      <c r="X582" s="971"/>
      <c r="Y582" s="971"/>
      <c r="Z582" s="971"/>
      <c r="AA582" s="971"/>
      <c r="AB582" s="971"/>
      <c r="AC582" s="971"/>
      <c r="AD582" s="971"/>
      <c r="AE582" s="971"/>
      <c r="AF582" s="971"/>
      <c r="AG582" s="971"/>
      <c r="AH582" s="971"/>
      <c r="AI582" s="971"/>
      <c r="AJ582" s="971"/>
      <c r="AK582" s="971"/>
      <c r="AL582" s="971"/>
      <c r="AM582" s="971"/>
      <c r="AN582" s="971"/>
      <c r="AO582" s="971"/>
      <c r="AP582" s="971"/>
      <c r="AQ582" s="971"/>
      <c r="AR582" s="971"/>
      <c r="AS582" s="971"/>
      <c r="AT582" s="971"/>
      <c r="AU582" s="971"/>
      <c r="AV582" s="971"/>
      <c r="AW582" s="971"/>
      <c r="AX582" s="971"/>
      <c r="AY582" s="971"/>
      <c r="AZ582" s="971"/>
      <c r="BA582" s="971"/>
      <c r="BB582" s="971"/>
      <c r="BC582" s="971"/>
      <c r="BD582" s="971"/>
      <c r="BE582" s="971"/>
      <c r="BF582" s="971"/>
      <c r="BG582" s="971"/>
      <c r="BH582" s="972"/>
      <c r="BI582" s="973"/>
      <c r="BJ582" s="973"/>
      <c r="BK582" s="973"/>
      <c r="BL582" s="973"/>
      <c r="BM582" s="973"/>
      <c r="BN582" s="973"/>
      <c r="BO582" s="973"/>
      <c r="BP582" s="971"/>
      <c r="BQ582" s="971"/>
      <c r="BR582" s="973"/>
      <c r="BS582" s="664"/>
    </row>
    <row r="583" spans="1:71" s="672" customFormat="1" ht="15">
      <c r="A583" s="957" t="s">
        <v>356</v>
      </c>
      <c r="B583" s="957"/>
      <c r="C583" s="993"/>
      <c r="D583" s="993"/>
      <c r="E583" s="993"/>
      <c r="F583" s="993"/>
      <c r="G583" s="993"/>
      <c r="H583" s="993"/>
      <c r="I583" s="993"/>
      <c r="J583" s="993"/>
      <c r="K583" s="993"/>
      <c r="L583" s="993"/>
      <c r="M583" s="993"/>
      <c r="N583" s="993"/>
      <c r="O583" s="993"/>
      <c r="P583" s="993"/>
      <c r="Q583" s="993"/>
      <c r="R583" s="993"/>
      <c r="S583" s="993"/>
      <c r="T583" s="993"/>
      <c r="U583" s="993"/>
      <c r="V583" s="993"/>
      <c r="W583" s="993"/>
      <c r="X583" s="993"/>
      <c r="Y583" s="993"/>
      <c r="Z583" s="993"/>
      <c r="AA583" s="993"/>
      <c r="AB583" s="993"/>
      <c r="AC583" s="993"/>
      <c r="AD583" s="993"/>
      <c r="AE583" s="993"/>
      <c r="AF583" s="993"/>
      <c r="AG583" s="993"/>
      <c r="AH583" s="993"/>
      <c r="AI583" s="993"/>
      <c r="AJ583" s="993"/>
      <c r="AK583" s="993"/>
      <c r="AL583" s="993"/>
      <c r="AM583" s="993"/>
      <c r="AN583" s="993"/>
      <c r="AO583" s="993"/>
      <c r="AP583" s="993"/>
      <c r="AQ583" s="993"/>
      <c r="AR583" s="993"/>
      <c r="AS583" s="993"/>
      <c r="AT583" s="993"/>
      <c r="AU583" s="993"/>
      <c r="AV583" s="993"/>
      <c r="AW583" s="993"/>
      <c r="AX583" s="993"/>
      <c r="AY583" s="993"/>
      <c r="AZ583" s="993"/>
      <c r="BA583" s="993"/>
      <c r="BB583" s="993"/>
      <c r="BC583" s="993"/>
      <c r="BD583" s="993"/>
      <c r="BE583" s="993"/>
      <c r="BF583" s="993"/>
      <c r="BG583" s="993"/>
      <c r="BH583" s="994"/>
      <c r="BI583" s="995"/>
      <c r="BJ583" s="995"/>
      <c r="BK583" s="995"/>
      <c r="BL583" s="995"/>
      <c r="BM583" s="995"/>
      <c r="BN583" s="995"/>
      <c r="BO583" s="995"/>
      <c r="BP583" s="993"/>
      <c r="BQ583" s="993"/>
      <c r="BR583" s="995"/>
      <c r="BS583" s="456"/>
    </row>
    <row r="584" spans="1:71" s="667" customFormat="1" ht="15">
      <c r="A584" s="664" t="s">
        <v>357</v>
      </c>
      <c r="B584" s="542"/>
      <c r="C584" s="996">
        <f t="shared" si="1284" ref="C584:AK584">IF(ISBLANK(INDEX(MO_IS_FirstRow,0,COLUMN())),0,ROUND(C461-C280,6))</f>
        <v>0</v>
      </c>
      <c r="D584" s="996">
        <f t="shared" si="1284"/>
        <v>0</v>
      </c>
      <c r="E584" s="996">
        <f t="shared" si="1284"/>
        <v>0</v>
      </c>
      <c r="F584" s="996">
        <f t="shared" si="1284"/>
        <v>0</v>
      </c>
      <c r="G584" s="996">
        <f t="shared" si="1284"/>
        <v>0</v>
      </c>
      <c r="H584" s="996">
        <f t="shared" si="1284"/>
        <v>0</v>
      </c>
      <c r="I584" s="996">
        <f t="shared" si="1284"/>
        <v>0</v>
      </c>
      <c r="J584" s="996">
        <f t="shared" si="1284"/>
        <v>0</v>
      </c>
      <c r="K584" s="996">
        <f t="shared" si="1284"/>
        <v>0</v>
      </c>
      <c r="L584" s="996">
        <f t="shared" si="1284"/>
        <v>0</v>
      </c>
      <c r="M584" s="996">
        <f t="shared" si="1284"/>
        <v>0</v>
      </c>
      <c r="N584" s="996">
        <f t="shared" si="1284"/>
        <v>0</v>
      </c>
      <c r="O584" s="996">
        <f t="shared" si="1284"/>
        <v>0</v>
      </c>
      <c r="P584" s="996">
        <f t="shared" si="1284"/>
        <v>0</v>
      </c>
      <c r="Q584" s="996">
        <f t="shared" si="1284"/>
        <v>0</v>
      </c>
      <c r="R584" s="996">
        <f t="shared" si="1284"/>
        <v>0</v>
      </c>
      <c r="S584" s="996">
        <f t="shared" si="1284"/>
        <v>0</v>
      </c>
      <c r="T584" s="996">
        <f t="shared" si="1284"/>
        <v>0</v>
      </c>
      <c r="U584" s="996">
        <f t="shared" si="1284"/>
        <v>0</v>
      </c>
      <c r="V584" s="996">
        <f t="shared" si="1284"/>
        <v>0</v>
      </c>
      <c r="W584" s="996">
        <f t="shared" si="1284"/>
        <v>0</v>
      </c>
      <c r="X584" s="996">
        <f t="shared" si="1284"/>
        <v>0</v>
      </c>
      <c r="Y584" s="996">
        <f t="shared" si="1284"/>
        <v>0</v>
      </c>
      <c r="Z584" s="996">
        <f t="shared" si="1284"/>
        <v>0</v>
      </c>
      <c r="AA584" s="996">
        <f t="shared" si="1284"/>
        <v>0</v>
      </c>
      <c r="AB584" s="996">
        <f t="shared" si="1284"/>
        <v>0</v>
      </c>
      <c r="AC584" s="996">
        <f t="shared" si="1284"/>
        <v>0</v>
      </c>
      <c r="AD584" s="996">
        <f t="shared" si="1284"/>
        <v>0</v>
      </c>
      <c r="AE584" s="996">
        <f t="shared" si="1284"/>
        <v>0</v>
      </c>
      <c r="AF584" s="996">
        <f t="shared" si="1284"/>
        <v>0</v>
      </c>
      <c r="AG584" s="996">
        <f t="shared" si="1284"/>
        <v>0</v>
      </c>
      <c r="AH584" s="996">
        <f t="shared" si="1284"/>
        <v>0</v>
      </c>
      <c r="AI584" s="996">
        <f t="shared" si="1284"/>
        <v>0</v>
      </c>
      <c r="AJ584" s="996">
        <f t="shared" si="1284"/>
        <v>0</v>
      </c>
      <c r="AK584" s="996">
        <f t="shared" si="1284"/>
        <v>0</v>
      </c>
      <c r="AL584" s="996">
        <f t="shared" si="1285" ref="AL584:AW584">IF(ISBLANK(INDEX(MO_IS_FirstRow,0,COLUMN())),0,ROUND(AL461-AL285-AL283,6))</f>
        <v>0</v>
      </c>
      <c r="AM584" s="996">
        <f t="shared" si="1285"/>
        <v>0</v>
      </c>
      <c r="AN584" s="996">
        <f t="shared" si="1285"/>
        <v>0</v>
      </c>
      <c r="AO584" s="996">
        <f t="shared" si="1285"/>
        <v>0</v>
      </c>
      <c r="AP584" s="996">
        <f t="shared" si="1285"/>
        <v>0</v>
      </c>
      <c r="AQ584" s="996">
        <f t="shared" si="1285"/>
        <v>0</v>
      </c>
      <c r="AR584" s="996">
        <f t="shared" si="1285"/>
        <v>0</v>
      </c>
      <c r="AS584" s="996">
        <f t="shared" si="1285"/>
        <v>0</v>
      </c>
      <c r="AT584" s="996">
        <f t="shared" si="1285"/>
        <v>0</v>
      </c>
      <c r="AU584" s="996">
        <f t="shared" si="1285"/>
        <v>0</v>
      </c>
      <c r="AV584" s="996">
        <f t="shared" si="1285"/>
        <v>0</v>
      </c>
      <c r="AW584" s="996">
        <f t="shared" si="1285"/>
        <v>0</v>
      </c>
      <c r="AX584" s="996">
        <f t="shared" si="1286" ref="AX584:BC584">IF(ISBLANK(INDEX(MO_IS_FirstRow,0,COLUMN())),0,ROUND(AX461-AX285-AX283,6))</f>
        <v>0</v>
      </c>
      <c r="AY584" s="996">
        <f t="shared" si="1286"/>
        <v>0</v>
      </c>
      <c r="AZ584" s="996">
        <f t="shared" si="1286"/>
        <v>0</v>
      </c>
      <c r="BA584" s="996">
        <f t="shared" si="1286"/>
        <v>0</v>
      </c>
      <c r="BB584" s="996">
        <f t="shared" si="1286"/>
        <v>0</v>
      </c>
      <c r="BC584" s="996">
        <f t="shared" si="1286"/>
        <v>0</v>
      </c>
      <c r="BD584" s="996">
        <f>IF(ISBLANK(INDEX(MO_IS_FirstRow,0,COLUMN())),0,ROUND(BD461-BD285-BD283,6))</f>
        <v>0</v>
      </c>
      <c r="BE584" s="996">
        <f>IF(ISBLANK(INDEX(MO_IS_FirstRow,0,COLUMN())),0,ROUND(BE461-BE285-BE283,6))</f>
        <v>0</v>
      </c>
      <c r="BF584" s="996">
        <f>IF(ISBLANK(INDEX(MO_IS_FirstRow,0,COLUMN())),0,ROUND(BF461-BF285-BF283,6))</f>
        <v>0</v>
      </c>
      <c r="BG584" s="996">
        <f>IF(ISBLANK(INDEX(MO_IS_FirstRow,0,COLUMN())),0,ROUND(BG461-BG285-BG283,6))</f>
        <v>0</v>
      </c>
      <c r="BH584" s="997">
        <f>IF(ISBLANK(INDEX(MO_IS_FirstRow,0,COLUMN())),0,ROUND(BH461-BH285-BH283,6))</f>
        <v>0</v>
      </c>
      <c r="BI584" s="998">
        <f t="shared" si="1287" ref="BI584:BR584">IF(ISBLANK(INDEX(MO_IS_FirstRow,0,COLUMN())),0,ROUND(BI461-BI285,6))</f>
        <v>0</v>
      </c>
      <c r="BJ584" s="998">
        <f t="shared" si="1287"/>
        <v>0</v>
      </c>
      <c r="BK584" s="998">
        <f t="shared" si="1287"/>
        <v>0</v>
      </c>
      <c r="BL584" s="998">
        <f t="shared" si="1287"/>
        <v>0</v>
      </c>
      <c r="BM584" s="998">
        <f t="shared" si="1287"/>
        <v>0</v>
      </c>
      <c r="BN584" s="998">
        <f t="shared" si="1287"/>
        <v>0</v>
      </c>
      <c r="BO584" s="998">
        <f t="shared" si="1287"/>
        <v>0</v>
      </c>
      <c r="BP584" s="996">
        <f t="shared" si="1287"/>
        <v>0</v>
      </c>
      <c r="BQ584" s="996">
        <f t="shared" si="1287"/>
        <v>0</v>
      </c>
      <c r="BR584" s="998">
        <f t="shared" si="1287"/>
        <v>0</v>
      </c>
      <c r="BS584" s="664"/>
    </row>
    <row r="585" spans="1:71" s="667" customFormat="1" ht="15">
      <c r="A585" s="664" t="s">
        <v>358</v>
      </c>
      <c r="B585" s="542"/>
      <c r="C585" s="996">
        <f t="shared" si="1288" ref="C585:AH585">IF(ISBLANK(INDEX(MO_IS_FirstRow,0,COLUMN())),0,ROUND(C244-C285,6))</f>
        <v>0</v>
      </c>
      <c r="D585" s="996">
        <f t="shared" si="1288"/>
        <v>0</v>
      </c>
      <c r="E585" s="996">
        <f t="shared" si="1288"/>
        <v>0</v>
      </c>
      <c r="F585" s="996">
        <f t="shared" si="1288"/>
        <v>0</v>
      </c>
      <c r="G585" s="996">
        <f t="shared" si="1288"/>
        <v>0</v>
      </c>
      <c r="H585" s="996">
        <f t="shared" si="1288"/>
        <v>0</v>
      </c>
      <c r="I585" s="996">
        <f t="shared" si="1288"/>
        <v>0</v>
      </c>
      <c r="J585" s="996">
        <f t="shared" si="1288"/>
        <v>0</v>
      </c>
      <c r="K585" s="996">
        <f t="shared" si="1288"/>
        <v>0</v>
      </c>
      <c r="L585" s="996">
        <f t="shared" si="1288"/>
        <v>0</v>
      </c>
      <c r="M585" s="996">
        <f t="shared" si="1288"/>
        <v>0</v>
      </c>
      <c r="N585" s="996">
        <f t="shared" si="1288"/>
        <v>0</v>
      </c>
      <c r="O585" s="996">
        <f t="shared" si="1288"/>
        <v>0</v>
      </c>
      <c r="P585" s="996">
        <f t="shared" si="1288"/>
        <v>0</v>
      </c>
      <c r="Q585" s="996">
        <f t="shared" si="1288"/>
        <v>0</v>
      </c>
      <c r="R585" s="996">
        <f t="shared" si="1288"/>
        <v>0</v>
      </c>
      <c r="S585" s="996">
        <f t="shared" si="1288"/>
        <v>0</v>
      </c>
      <c r="T585" s="996">
        <f t="shared" si="1288"/>
        <v>0</v>
      </c>
      <c r="U585" s="996">
        <f t="shared" si="1288"/>
        <v>0</v>
      </c>
      <c r="V585" s="996">
        <f t="shared" si="1288"/>
        <v>0</v>
      </c>
      <c r="W585" s="996">
        <f t="shared" si="1288"/>
        <v>0</v>
      </c>
      <c r="X585" s="996">
        <f t="shared" si="1288"/>
        <v>0</v>
      </c>
      <c r="Y585" s="996">
        <f t="shared" si="1288"/>
        <v>0</v>
      </c>
      <c r="Z585" s="996">
        <f t="shared" si="1288"/>
        <v>0</v>
      </c>
      <c r="AA585" s="996">
        <f t="shared" si="1288"/>
        <v>0</v>
      </c>
      <c r="AB585" s="996">
        <f t="shared" si="1288"/>
        <v>0</v>
      </c>
      <c r="AC585" s="996">
        <f t="shared" si="1288"/>
        <v>0</v>
      </c>
      <c r="AD585" s="996">
        <f t="shared" si="1288"/>
        <v>0</v>
      </c>
      <c r="AE585" s="996">
        <f t="shared" si="1288"/>
        <v>0</v>
      </c>
      <c r="AF585" s="996">
        <f t="shared" si="1288"/>
        <v>0</v>
      </c>
      <c r="AG585" s="996">
        <f t="shared" si="1288"/>
        <v>0</v>
      </c>
      <c r="AH585" s="996">
        <f t="shared" si="1288"/>
        <v>0</v>
      </c>
      <c r="AI585" s="996">
        <f t="shared" si="1289" ref="AI585:AW585">IF(ISBLANK(INDEX(MO_IS_FirstRow,0,COLUMN())),0,ROUND(AI244-AI285,6))</f>
        <v>0</v>
      </c>
      <c r="AJ585" s="996">
        <f t="shared" si="1289"/>
        <v>0</v>
      </c>
      <c r="AK585" s="996">
        <f t="shared" si="1289"/>
        <v>0</v>
      </c>
      <c r="AL585" s="996">
        <f t="shared" si="1289"/>
        <v>0</v>
      </c>
      <c r="AM585" s="996">
        <f t="shared" si="1289"/>
        <v>0</v>
      </c>
      <c r="AN585" s="996">
        <f t="shared" si="1289"/>
        <v>0</v>
      </c>
      <c r="AO585" s="996">
        <f t="shared" si="1289"/>
        <v>0</v>
      </c>
      <c r="AP585" s="996">
        <f t="shared" si="1289"/>
        <v>0</v>
      </c>
      <c r="AQ585" s="996">
        <f t="shared" si="1289"/>
        <v>0</v>
      </c>
      <c r="AR585" s="996">
        <f t="shared" si="1289"/>
        <v>0</v>
      </c>
      <c r="AS585" s="996">
        <f t="shared" si="1289"/>
        <v>0</v>
      </c>
      <c r="AT585" s="996">
        <f t="shared" si="1289"/>
        <v>0</v>
      </c>
      <c r="AU585" s="996">
        <f t="shared" si="1289"/>
        <v>0</v>
      </c>
      <c r="AV585" s="996">
        <f t="shared" si="1289"/>
        <v>0</v>
      </c>
      <c r="AW585" s="996">
        <f t="shared" si="1289"/>
        <v>0</v>
      </c>
      <c r="AX585" s="996">
        <f t="shared" si="1290" ref="AX585:AZ585">IF(ISBLANK(INDEX(MO_IS_FirstRow,0,COLUMN())),0,ROUND(AX244-AX285,6))</f>
        <v>0</v>
      </c>
      <c r="AY585" s="996">
        <f t="shared" si="1290"/>
        <v>0</v>
      </c>
      <c r="AZ585" s="996">
        <f t="shared" si="1290"/>
        <v>0</v>
      </c>
      <c r="BA585" s="996">
        <f t="shared" si="1291" ref="BA585:BR585">IF(ISBLANK(INDEX(MO_IS_FirstRow,0,COLUMN())),0,ROUND(BA244-BA285,6))</f>
        <v>0</v>
      </c>
      <c r="BB585" s="996">
        <f t="shared" si="1291"/>
        <v>0</v>
      </c>
      <c r="BC585" s="996">
        <f t="shared" si="1291"/>
        <v>0</v>
      </c>
      <c r="BD585" s="996">
        <f t="shared" si="1291"/>
        <v>0</v>
      </c>
      <c r="BE585" s="996">
        <f t="shared" si="1291"/>
        <v>0</v>
      </c>
      <c r="BF585" s="996">
        <f>IF(ISBLANK(INDEX(MO_IS_FirstRow,0,COLUMN())),0,ROUND(BF244-BF285,6))</f>
        <v>0</v>
      </c>
      <c r="BG585" s="996">
        <f>IF(ISBLANK(INDEX(MO_IS_FirstRow,0,COLUMN())),0,ROUND(BG244-BG285,6))</f>
        <v>0</v>
      </c>
      <c r="BH585" s="997">
        <f>IF(ISBLANK(INDEX(MO_IS_FirstRow,0,COLUMN())),0,ROUND(BH244-BH285,6))</f>
        <v>0</v>
      </c>
      <c r="BI585" s="998">
        <f t="shared" si="1291"/>
        <v>0</v>
      </c>
      <c r="BJ585" s="998">
        <f t="shared" si="1291"/>
        <v>0</v>
      </c>
      <c r="BK585" s="998">
        <f t="shared" si="1291"/>
        <v>0</v>
      </c>
      <c r="BL585" s="998">
        <f t="shared" si="1291"/>
        <v>0</v>
      </c>
      <c r="BM585" s="998">
        <f t="shared" si="1291"/>
        <v>0</v>
      </c>
      <c r="BN585" s="998">
        <f t="shared" si="1291"/>
        <v>0</v>
      </c>
      <c r="BO585" s="998">
        <f t="shared" si="1291"/>
        <v>0</v>
      </c>
      <c r="BP585" s="996">
        <f t="shared" si="1291"/>
        <v>0</v>
      </c>
      <c r="BQ585" s="996">
        <f t="shared" si="1291"/>
        <v>0</v>
      </c>
      <c r="BR585" s="998">
        <f t="shared" si="1291"/>
        <v>0</v>
      </c>
      <c r="BS585" s="664"/>
    </row>
    <row r="586" spans="1:71" s="667" customFormat="1" ht="15">
      <c r="A586" s="664" t="s">
        <v>359</v>
      </c>
      <c r="B586" s="542"/>
      <c r="C586" s="996">
        <f t="shared" si="1292" ref="C586:AH586">ROUND(INDEX(MO_UI_NEP,0,COLUMN())-INDEX(MO_RIS_NEP,0,COLUMN())+C204,6)</f>
        <v>0</v>
      </c>
      <c r="D586" s="996">
        <f t="shared" si="1292"/>
        <v>0</v>
      </c>
      <c r="E586" s="996">
        <f t="shared" si="1292"/>
        <v>0</v>
      </c>
      <c r="F586" s="996">
        <f t="shared" si="1292"/>
        <v>0</v>
      </c>
      <c r="G586" s="996">
        <f t="shared" si="1292"/>
        <v>0</v>
      </c>
      <c r="H586" s="996">
        <f t="shared" si="1292"/>
        <v>0</v>
      </c>
      <c r="I586" s="996">
        <f t="shared" si="1292"/>
        <v>0</v>
      </c>
      <c r="J586" s="996">
        <f t="shared" si="1292"/>
        <v>0</v>
      </c>
      <c r="K586" s="996">
        <f t="shared" si="1292"/>
        <v>0</v>
      </c>
      <c r="L586" s="996">
        <f t="shared" si="1292"/>
        <v>0</v>
      </c>
      <c r="M586" s="996">
        <f t="shared" si="1292"/>
        <v>0</v>
      </c>
      <c r="N586" s="996">
        <f t="shared" si="1292"/>
        <v>0</v>
      </c>
      <c r="O586" s="996">
        <f t="shared" si="1292"/>
        <v>0</v>
      </c>
      <c r="P586" s="996">
        <f t="shared" si="1292"/>
        <v>0</v>
      </c>
      <c r="Q586" s="996">
        <f t="shared" si="1292"/>
        <v>0</v>
      </c>
      <c r="R586" s="996">
        <f t="shared" si="1292"/>
        <v>0</v>
      </c>
      <c r="S586" s="996">
        <f t="shared" si="1292"/>
        <v>0</v>
      </c>
      <c r="T586" s="996">
        <f t="shared" si="1292"/>
        <v>0</v>
      </c>
      <c r="U586" s="996">
        <f t="shared" si="1292"/>
        <v>0</v>
      </c>
      <c r="V586" s="996">
        <f t="shared" si="1292"/>
        <v>0</v>
      </c>
      <c r="W586" s="996">
        <f t="shared" si="1292"/>
        <v>0</v>
      </c>
      <c r="X586" s="996">
        <f t="shared" si="1292"/>
        <v>0</v>
      </c>
      <c r="Y586" s="996">
        <f t="shared" si="1292"/>
        <v>0</v>
      </c>
      <c r="Z586" s="996">
        <f t="shared" si="1292"/>
        <v>0</v>
      </c>
      <c r="AA586" s="996">
        <f t="shared" si="1292"/>
        <v>0</v>
      </c>
      <c r="AB586" s="996">
        <f t="shared" si="1292"/>
        <v>0</v>
      </c>
      <c r="AC586" s="996">
        <f t="shared" si="1292"/>
        <v>0</v>
      </c>
      <c r="AD586" s="996">
        <f t="shared" si="1292"/>
        <v>0</v>
      </c>
      <c r="AE586" s="996">
        <f t="shared" si="1292"/>
        <v>0</v>
      </c>
      <c r="AF586" s="996">
        <f t="shared" si="1292"/>
        <v>0</v>
      </c>
      <c r="AG586" s="996">
        <f t="shared" si="1292"/>
        <v>0</v>
      </c>
      <c r="AH586" s="996">
        <f t="shared" si="1292"/>
        <v>0</v>
      </c>
      <c r="AI586" s="996">
        <f t="shared" si="1293" ref="AI586:AW586">ROUND(INDEX(MO_UI_NEP,0,COLUMN())-INDEX(MO_RIS_NEP,0,COLUMN())+AI204,6)</f>
        <v>0</v>
      </c>
      <c r="AJ586" s="996">
        <f t="shared" si="1293"/>
        <v>0</v>
      </c>
      <c r="AK586" s="996">
        <f t="shared" si="1293"/>
        <v>0</v>
      </c>
      <c r="AL586" s="996">
        <f t="shared" si="1293"/>
        <v>0</v>
      </c>
      <c r="AM586" s="996">
        <f t="shared" si="1293"/>
        <v>0</v>
      </c>
      <c r="AN586" s="996">
        <f t="shared" si="1293"/>
        <v>0</v>
      </c>
      <c r="AO586" s="996">
        <f t="shared" si="1293"/>
        <v>0</v>
      </c>
      <c r="AP586" s="996">
        <f t="shared" si="1293"/>
        <v>0</v>
      </c>
      <c r="AQ586" s="996">
        <f t="shared" si="1293"/>
        <v>0</v>
      </c>
      <c r="AR586" s="996">
        <f t="shared" si="1293"/>
        <v>0</v>
      </c>
      <c r="AS586" s="996">
        <f t="shared" si="1293"/>
        <v>0</v>
      </c>
      <c r="AT586" s="996">
        <f t="shared" si="1293"/>
        <v>0</v>
      </c>
      <c r="AU586" s="996">
        <f t="shared" si="1293"/>
        <v>0</v>
      </c>
      <c r="AV586" s="996">
        <f t="shared" si="1293"/>
        <v>0</v>
      </c>
      <c r="AW586" s="996">
        <f t="shared" si="1293"/>
        <v>0</v>
      </c>
      <c r="AX586" s="996">
        <f t="shared" si="1294" ref="AX586:AZ586">ROUND(INDEX(MO_UI_NEP,0,COLUMN())-INDEX(MO_RIS_NEP,0,COLUMN())+AX204,6)</f>
        <v>0</v>
      </c>
      <c r="AY586" s="996">
        <f t="shared" si="1294"/>
        <v>0</v>
      </c>
      <c r="AZ586" s="996">
        <f t="shared" si="1294"/>
        <v>0</v>
      </c>
      <c r="BA586" s="996">
        <f t="shared" si="1295" ref="BA586:BR586">ROUND(INDEX(MO_UI_NEP,0,COLUMN())-INDEX(MO_RIS_NEP,0,COLUMN())+BA204,6)</f>
        <v>0</v>
      </c>
      <c r="BB586" s="996">
        <f t="shared" si="1295"/>
        <v>0</v>
      </c>
      <c r="BC586" s="996">
        <f t="shared" si="1295"/>
        <v>0</v>
      </c>
      <c r="BD586" s="996">
        <f t="shared" si="1295"/>
        <v>0</v>
      </c>
      <c r="BE586" s="996">
        <f t="shared" si="1295"/>
        <v>0</v>
      </c>
      <c r="BF586" s="996">
        <f>ROUND(INDEX(MO_UI_NEP,0,COLUMN())-INDEX(MO_RIS_NEP,0,COLUMN())+BF204,6)</f>
        <v>0</v>
      </c>
      <c r="BG586" s="996">
        <f>ROUND(INDEX(MO_UI_NEP,0,COLUMN())-INDEX(MO_RIS_NEP,0,COLUMN())+BG204,6)</f>
        <v>0</v>
      </c>
      <c r="BH586" s="997">
        <f>ROUND(INDEX(MO_UI_NEP,0,COLUMN())-INDEX(MO_RIS_NEP,0,COLUMN())+BH204,6)</f>
        <v>0</v>
      </c>
      <c r="BI586" s="998">
        <f t="shared" si="1295"/>
        <v>0</v>
      </c>
      <c r="BJ586" s="998">
        <f t="shared" si="1295"/>
        <v>0</v>
      </c>
      <c r="BK586" s="998">
        <f t="shared" si="1295"/>
        <v>0</v>
      </c>
      <c r="BL586" s="998">
        <f t="shared" si="1295"/>
        <v>0</v>
      </c>
      <c r="BM586" s="998">
        <f t="shared" si="1295"/>
        <v>0</v>
      </c>
      <c r="BN586" s="998">
        <f t="shared" si="1295"/>
        <v>0</v>
      </c>
      <c r="BO586" s="998">
        <f t="shared" si="1295"/>
        <v>0</v>
      </c>
      <c r="BP586" s="996">
        <f t="shared" si="1295"/>
        <v>0</v>
      </c>
      <c r="BQ586" s="996">
        <f t="shared" si="1295"/>
        <v>0</v>
      </c>
      <c r="BR586" s="998">
        <f t="shared" si="1295"/>
        <v>0</v>
      </c>
      <c r="BS586" s="664"/>
    </row>
    <row r="587" spans="1:71" s="667" customFormat="1" ht="15">
      <c r="A587" s="664" t="s">
        <v>360</v>
      </c>
      <c r="B587" s="542"/>
      <c r="C587" s="996">
        <f t="shared" si="1296" ref="C587:AH587">ROUND(INDEX(MO_UI_Loss,0,COLUMN())-INDEX(MO_RIS_Loss,0,COLUMN())+C211+C212,6)</f>
        <v>0</v>
      </c>
      <c r="D587" s="996">
        <f t="shared" si="1296"/>
        <v>0</v>
      </c>
      <c r="E587" s="996">
        <f t="shared" si="1296"/>
        <v>0</v>
      </c>
      <c r="F587" s="996">
        <f t="shared" si="1296"/>
        <v>0</v>
      </c>
      <c r="G587" s="996">
        <f t="shared" si="1296"/>
        <v>0</v>
      </c>
      <c r="H587" s="996">
        <f t="shared" si="1296"/>
        <v>0</v>
      </c>
      <c r="I587" s="996">
        <f t="shared" si="1296"/>
        <v>0</v>
      </c>
      <c r="J587" s="996">
        <f t="shared" si="1296"/>
        <v>0</v>
      </c>
      <c r="K587" s="996">
        <f t="shared" si="1296"/>
        <v>0</v>
      </c>
      <c r="L587" s="996">
        <f t="shared" si="1296"/>
        <v>0</v>
      </c>
      <c r="M587" s="996">
        <f t="shared" si="1296"/>
        <v>0</v>
      </c>
      <c r="N587" s="996">
        <f t="shared" si="1296"/>
        <v>0</v>
      </c>
      <c r="O587" s="996">
        <f t="shared" si="1296"/>
        <v>0</v>
      </c>
      <c r="P587" s="996">
        <f t="shared" si="1296"/>
        <v>0</v>
      </c>
      <c r="Q587" s="996">
        <f t="shared" si="1296"/>
        <v>0</v>
      </c>
      <c r="R587" s="996">
        <f t="shared" si="1296"/>
        <v>0</v>
      </c>
      <c r="S587" s="996">
        <f t="shared" si="1296"/>
        <v>0</v>
      </c>
      <c r="T587" s="996">
        <f t="shared" si="1296"/>
        <v>0</v>
      </c>
      <c r="U587" s="996">
        <f t="shared" si="1296"/>
        <v>0</v>
      </c>
      <c r="V587" s="996">
        <f t="shared" si="1296"/>
        <v>0</v>
      </c>
      <c r="W587" s="996">
        <f t="shared" si="1296"/>
        <v>0</v>
      </c>
      <c r="X587" s="996">
        <f t="shared" si="1296"/>
        <v>0</v>
      </c>
      <c r="Y587" s="996">
        <f t="shared" si="1296"/>
        <v>0</v>
      </c>
      <c r="Z587" s="996">
        <f t="shared" si="1296"/>
        <v>0</v>
      </c>
      <c r="AA587" s="996">
        <f t="shared" si="1296"/>
        <v>0</v>
      </c>
      <c r="AB587" s="996">
        <f t="shared" si="1296"/>
        <v>0</v>
      </c>
      <c r="AC587" s="996">
        <f t="shared" si="1296"/>
        <v>0</v>
      </c>
      <c r="AD587" s="996">
        <f t="shared" si="1296"/>
        <v>0</v>
      </c>
      <c r="AE587" s="996">
        <f t="shared" si="1296"/>
        <v>0</v>
      </c>
      <c r="AF587" s="996">
        <f t="shared" si="1296"/>
        <v>0</v>
      </c>
      <c r="AG587" s="996">
        <f t="shared" si="1296"/>
        <v>0</v>
      </c>
      <c r="AH587" s="996">
        <f t="shared" si="1296"/>
        <v>0</v>
      </c>
      <c r="AI587" s="996">
        <f t="shared" si="1297" ref="AI587:AW587">ROUND(INDEX(MO_UI_Loss,0,COLUMN())-INDEX(MO_RIS_Loss,0,COLUMN())+AI211+AI212,6)</f>
        <v>0</v>
      </c>
      <c r="AJ587" s="996">
        <f t="shared" si="1297"/>
        <v>0</v>
      </c>
      <c r="AK587" s="996">
        <f t="shared" si="1297"/>
        <v>0</v>
      </c>
      <c r="AL587" s="996">
        <f t="shared" si="1297"/>
        <v>0</v>
      </c>
      <c r="AM587" s="996">
        <f t="shared" si="1297"/>
        <v>0</v>
      </c>
      <c r="AN587" s="996">
        <f t="shared" si="1297"/>
        <v>0</v>
      </c>
      <c r="AO587" s="996">
        <f t="shared" si="1297"/>
        <v>0</v>
      </c>
      <c r="AP587" s="996">
        <f t="shared" si="1297"/>
        <v>0</v>
      </c>
      <c r="AQ587" s="996">
        <f t="shared" si="1297"/>
        <v>0</v>
      </c>
      <c r="AR587" s="996">
        <f t="shared" si="1297"/>
        <v>-1</v>
      </c>
      <c r="AS587" s="996">
        <f t="shared" si="1297"/>
        <v>-1</v>
      </c>
      <c r="AT587" s="996">
        <f t="shared" si="1297"/>
        <v>-2</v>
      </c>
      <c r="AU587" s="996">
        <f t="shared" si="1297"/>
        <v>-4</v>
      </c>
      <c r="AV587" s="996">
        <f t="shared" si="1297"/>
        <v>-1</v>
      </c>
      <c r="AW587" s="996">
        <f t="shared" si="1297"/>
        <v>-1</v>
      </c>
      <c r="AX587" s="996">
        <f t="shared" si="1298" ref="AX587:AZ587">ROUND(INDEX(MO_UI_Loss,0,COLUMN())-INDEX(MO_RIS_Loss,0,COLUMN())+AX211+AX212,6)</f>
        <v>-3</v>
      </c>
      <c r="AY587" s="996">
        <f t="shared" si="1298"/>
        <v>1</v>
      </c>
      <c r="AZ587" s="996">
        <f t="shared" si="1298"/>
        <v>-4</v>
      </c>
      <c r="BA587" s="996">
        <f t="shared" si="1299" ref="BA587:BR587">ROUND(INDEX(MO_UI_Loss,0,COLUMN())-INDEX(MO_RIS_Loss,0,COLUMN())+BA211+BA212,6)</f>
        <v>-1</v>
      </c>
      <c r="BB587" s="996">
        <f t="shared" si="1299"/>
        <v>1</v>
      </c>
      <c r="BC587" s="996">
        <f t="shared" si="1299"/>
        <v>-1</v>
      </c>
      <c r="BD587" s="996">
        <f>ROUND(INDEX(MO_UI_Loss,0,COLUMN())-INDEX(MO_RIS_Loss,0,COLUMN())+BD211+BD212,6)</f>
        <v>-17</v>
      </c>
      <c r="BE587" s="996">
        <f>ROUND(INDEX(MO_UI_Loss,0,COLUMN())-INDEX(MO_RIS_Loss,0,COLUMN())+BE211+BE212,6)</f>
        <v>-18</v>
      </c>
      <c r="BF587" s="996">
        <f>ROUND(INDEX(MO_UI_Loss,0,COLUMN())-INDEX(MO_RIS_Loss,0,COLUMN())+BF211+BF212,6)</f>
        <v>-6</v>
      </c>
      <c r="BG587" s="996">
        <f>ROUND(INDEX(MO_UI_Loss,0,COLUMN())-INDEX(MO_RIS_Loss,0,COLUMN())+BG211+BG212,6)</f>
        <v>-1</v>
      </c>
      <c r="BH587" s="997">
        <f>ROUND(INDEX(MO_UI_Loss,0,COLUMN())-INDEX(MO_RIS_Loss,0,COLUMN())+BH211+BH212,6)</f>
        <v>-2</v>
      </c>
      <c r="BI587" s="998">
        <f t="shared" si="1299"/>
        <v>0</v>
      </c>
      <c r="BJ587" s="998">
        <f t="shared" si="1299"/>
        <v>-9</v>
      </c>
      <c r="BK587" s="998">
        <f t="shared" si="1299"/>
        <v>0</v>
      </c>
      <c r="BL587" s="998">
        <f t="shared" si="1299"/>
        <v>0</v>
      </c>
      <c r="BM587" s="998">
        <f t="shared" si="1299"/>
        <v>0</v>
      </c>
      <c r="BN587" s="998">
        <f t="shared" si="1299"/>
        <v>0</v>
      </c>
      <c r="BO587" s="998">
        <f t="shared" si="1299"/>
        <v>0</v>
      </c>
      <c r="BP587" s="996">
        <f t="shared" si="1299"/>
        <v>0</v>
      </c>
      <c r="BQ587" s="996">
        <f t="shared" si="1299"/>
        <v>0</v>
      </c>
      <c r="BR587" s="998">
        <f t="shared" si="1299"/>
        <v>0</v>
      </c>
      <c r="BS587" s="664"/>
    </row>
    <row r="588" spans="1:71" s="667" customFormat="1" ht="15">
      <c r="A588" s="664" t="s">
        <v>361</v>
      </c>
      <c r="B588" s="542"/>
      <c r="C588" s="996">
        <f t="shared" si="1300" ref="C588:AH588">ROUND(INDEX(MO_UI_OOE,0,COLUMN())-INDEX(MO_RIS_OOE,0,COLUMN())+C213,6)</f>
        <v>0</v>
      </c>
      <c r="D588" s="996">
        <f t="shared" si="1300"/>
        <v>0</v>
      </c>
      <c r="E588" s="996">
        <f t="shared" si="1300"/>
        <v>0</v>
      </c>
      <c r="F588" s="996">
        <f t="shared" si="1300"/>
        <v>0</v>
      </c>
      <c r="G588" s="996">
        <f t="shared" si="1300"/>
        <v>0</v>
      </c>
      <c r="H588" s="996">
        <f t="shared" si="1300"/>
        <v>0</v>
      </c>
      <c r="I588" s="996">
        <f t="shared" si="1300"/>
        <v>0</v>
      </c>
      <c r="J588" s="996">
        <f t="shared" si="1300"/>
        <v>0</v>
      </c>
      <c r="K588" s="996">
        <f t="shared" si="1300"/>
        <v>0</v>
      </c>
      <c r="L588" s="996">
        <f t="shared" si="1300"/>
        <v>0</v>
      </c>
      <c r="M588" s="996">
        <f t="shared" si="1300"/>
        <v>0</v>
      </c>
      <c r="N588" s="996">
        <f t="shared" si="1300"/>
        <v>0</v>
      </c>
      <c r="O588" s="996">
        <f t="shared" si="1300"/>
        <v>0</v>
      </c>
      <c r="P588" s="996">
        <f t="shared" si="1300"/>
        <v>0</v>
      </c>
      <c r="Q588" s="996">
        <f t="shared" si="1300"/>
        <v>0</v>
      </c>
      <c r="R588" s="996">
        <f t="shared" si="1300"/>
        <v>0</v>
      </c>
      <c r="S588" s="996">
        <f t="shared" si="1300"/>
        <v>0</v>
      </c>
      <c r="T588" s="996">
        <f t="shared" si="1300"/>
        <v>0</v>
      </c>
      <c r="U588" s="996">
        <f t="shared" si="1300"/>
        <v>0</v>
      </c>
      <c r="V588" s="996">
        <f t="shared" si="1300"/>
        <v>0</v>
      </c>
      <c r="W588" s="996">
        <f t="shared" si="1300"/>
        <v>0</v>
      </c>
      <c r="X588" s="996">
        <f t="shared" si="1300"/>
        <v>0</v>
      </c>
      <c r="Y588" s="996">
        <f t="shared" si="1300"/>
        <v>0</v>
      </c>
      <c r="Z588" s="996">
        <f t="shared" si="1300"/>
        <v>0</v>
      </c>
      <c r="AA588" s="996">
        <f t="shared" si="1300"/>
        <v>0</v>
      </c>
      <c r="AB588" s="996">
        <f t="shared" si="1300"/>
        <v>0</v>
      </c>
      <c r="AC588" s="996">
        <f t="shared" si="1300"/>
        <v>0</v>
      </c>
      <c r="AD588" s="996">
        <f t="shared" si="1300"/>
        <v>0</v>
      </c>
      <c r="AE588" s="996">
        <f t="shared" si="1300"/>
        <v>0</v>
      </c>
      <c r="AF588" s="996">
        <f t="shared" si="1300"/>
        <v>0</v>
      </c>
      <c r="AG588" s="996">
        <f t="shared" si="1300"/>
        <v>0</v>
      </c>
      <c r="AH588" s="996">
        <f t="shared" si="1300"/>
        <v>0</v>
      </c>
      <c r="AI588" s="996">
        <f t="shared" si="1301" ref="AI588:AW588">ROUND(INDEX(MO_UI_OOE,0,COLUMN())-INDEX(MO_RIS_OOE,0,COLUMN())+AI213,6)</f>
        <v>0</v>
      </c>
      <c r="AJ588" s="996">
        <f t="shared" si="1301"/>
        <v>0</v>
      </c>
      <c r="AK588" s="996">
        <f t="shared" si="1301"/>
        <v>0</v>
      </c>
      <c r="AL588" s="996">
        <f t="shared" si="1301"/>
        <v>0</v>
      </c>
      <c r="AM588" s="996">
        <f t="shared" si="1301"/>
        <v>0</v>
      </c>
      <c r="AN588" s="996">
        <f t="shared" si="1301"/>
        <v>0</v>
      </c>
      <c r="AO588" s="996">
        <f t="shared" si="1301"/>
        <v>0</v>
      </c>
      <c r="AP588" s="996">
        <f t="shared" si="1301"/>
        <v>0</v>
      </c>
      <c r="AQ588" s="996">
        <f t="shared" si="1301"/>
        <v>0</v>
      </c>
      <c r="AR588" s="996">
        <f t="shared" si="1301"/>
        <v>0</v>
      </c>
      <c r="AS588" s="996">
        <f t="shared" si="1301"/>
        <v>0</v>
      </c>
      <c r="AT588" s="996">
        <f t="shared" si="1301"/>
        <v>0</v>
      </c>
      <c r="AU588" s="996">
        <f t="shared" si="1301"/>
        <v>0</v>
      </c>
      <c r="AV588" s="996">
        <f t="shared" si="1301"/>
        <v>0</v>
      </c>
      <c r="AW588" s="996">
        <f t="shared" si="1301"/>
        <v>0</v>
      </c>
      <c r="AX588" s="996">
        <f t="shared" si="1302" ref="AX588:AZ588">ROUND(INDEX(MO_UI_OOE,0,COLUMN())-INDEX(MO_RIS_OOE,0,COLUMN())+AX213,6)</f>
        <v>0</v>
      </c>
      <c r="AY588" s="996">
        <f t="shared" si="1302"/>
        <v>0</v>
      </c>
      <c r="AZ588" s="996">
        <f t="shared" si="1302"/>
        <v>0</v>
      </c>
      <c r="BA588" s="996">
        <f t="shared" si="1303" ref="BA588:BR588">ROUND(INDEX(MO_UI_OOE,0,COLUMN())-INDEX(MO_RIS_OOE,0,COLUMN())+BA213,6)</f>
        <v>0</v>
      </c>
      <c r="BB588" s="996">
        <f t="shared" si="1303"/>
        <v>0</v>
      </c>
      <c r="BC588" s="996">
        <f t="shared" si="1303"/>
        <v>0</v>
      </c>
      <c r="BD588" s="996">
        <f>ROUND(INDEX(MO_UI_OOE,0,COLUMN())-INDEX(MO_RIS_OOE,0,COLUMN())+BD213,6)</f>
        <v>0</v>
      </c>
      <c r="BE588" s="996">
        <f t="shared" si="1303"/>
        <v>0</v>
      </c>
      <c r="BF588" s="996">
        <f>ROUND(INDEX(MO_UI_OOE,0,COLUMN())-INDEX(MO_RIS_OOE,0,COLUMN())+BF213,6)</f>
        <v>0</v>
      </c>
      <c r="BG588" s="996">
        <f>ROUND(INDEX(MO_UI_OOE,0,COLUMN())-INDEX(MO_RIS_OOE,0,COLUMN())+BG213,6)</f>
        <v>0</v>
      </c>
      <c r="BH588" s="997">
        <f>ROUND(INDEX(MO_UI_OOE,0,COLUMN())-INDEX(MO_RIS_OOE,0,COLUMN())+BH213,6)</f>
        <v>0</v>
      </c>
      <c r="BI588" s="998">
        <f t="shared" si="1303"/>
        <v>0</v>
      </c>
      <c r="BJ588" s="998">
        <f t="shared" si="1303"/>
        <v>0</v>
      </c>
      <c r="BK588" s="998">
        <f t="shared" si="1303"/>
        <v>0</v>
      </c>
      <c r="BL588" s="998">
        <f t="shared" si="1303"/>
        <v>0</v>
      </c>
      <c r="BM588" s="998">
        <f t="shared" si="1303"/>
        <v>0</v>
      </c>
      <c r="BN588" s="998">
        <f t="shared" si="1303"/>
        <v>0</v>
      </c>
      <c r="BO588" s="998">
        <f t="shared" si="1303"/>
        <v>0</v>
      </c>
      <c r="BP588" s="996">
        <f t="shared" si="1303"/>
        <v>0</v>
      </c>
      <c r="BQ588" s="996">
        <f t="shared" si="1303"/>
        <v>0</v>
      </c>
      <c r="BR588" s="998">
        <f t="shared" si="1303"/>
        <v>0</v>
      </c>
      <c r="BS588" s="664"/>
    </row>
    <row r="589" spans="1:71" s="667" customFormat="1" ht="15">
      <c r="A589" s="664" t="s">
        <v>362</v>
      </c>
      <c r="B589" s="542"/>
      <c r="C589" s="996">
        <f t="shared" si="1304" ref="C589:AK589">ROUND(INDEX(MO_II_NetII,0,COLUMN())-INDEX(MO_RIS_NetII,0,COLUMN()),6)</f>
        <v>0</v>
      </c>
      <c r="D589" s="996">
        <f t="shared" si="1304"/>
        <v>0</v>
      </c>
      <c r="E589" s="996">
        <f t="shared" si="1304"/>
        <v>0</v>
      </c>
      <c r="F589" s="996">
        <f t="shared" si="1304"/>
        <v>0</v>
      </c>
      <c r="G589" s="996">
        <f t="shared" si="1304"/>
        <v>0</v>
      </c>
      <c r="H589" s="996">
        <f t="shared" si="1304"/>
        <v>0</v>
      </c>
      <c r="I589" s="996">
        <f t="shared" si="1304"/>
        <v>0</v>
      </c>
      <c r="J589" s="996">
        <f t="shared" si="1304"/>
        <v>0</v>
      </c>
      <c r="K589" s="996">
        <f t="shared" si="1304"/>
        <v>0</v>
      </c>
      <c r="L589" s="996">
        <f t="shared" si="1304"/>
        <v>0</v>
      </c>
      <c r="M589" s="996">
        <f t="shared" si="1304"/>
        <v>0</v>
      </c>
      <c r="N589" s="996">
        <f t="shared" si="1304"/>
        <v>0</v>
      </c>
      <c r="O589" s="996">
        <f t="shared" si="1304"/>
        <v>0</v>
      </c>
      <c r="P589" s="996">
        <f t="shared" si="1304"/>
        <v>0</v>
      </c>
      <c r="Q589" s="996">
        <f t="shared" si="1304"/>
        <v>0</v>
      </c>
      <c r="R589" s="996">
        <f t="shared" si="1304"/>
        <v>0</v>
      </c>
      <c r="S589" s="996">
        <f t="shared" si="1304"/>
        <v>0</v>
      </c>
      <c r="T589" s="996">
        <f t="shared" si="1304"/>
        <v>0</v>
      </c>
      <c r="U589" s="996">
        <f t="shared" si="1304"/>
        <v>0</v>
      </c>
      <c r="V589" s="996">
        <f t="shared" si="1304"/>
        <v>0</v>
      </c>
      <c r="W589" s="996">
        <f t="shared" si="1304"/>
        <v>0</v>
      </c>
      <c r="X589" s="996">
        <f t="shared" si="1304"/>
        <v>0</v>
      </c>
      <c r="Y589" s="996">
        <f t="shared" si="1304"/>
        <v>0</v>
      </c>
      <c r="Z589" s="996">
        <f t="shared" si="1304"/>
        <v>0</v>
      </c>
      <c r="AA589" s="996">
        <f t="shared" si="1304"/>
        <v>0</v>
      </c>
      <c r="AB589" s="996">
        <f t="shared" si="1304"/>
        <v>0</v>
      </c>
      <c r="AC589" s="996">
        <f t="shared" si="1304"/>
        <v>0</v>
      </c>
      <c r="AD589" s="996">
        <f t="shared" si="1304"/>
        <v>0</v>
      </c>
      <c r="AE589" s="996">
        <f t="shared" si="1304"/>
        <v>0</v>
      </c>
      <c r="AF589" s="996">
        <f t="shared" si="1304"/>
        <v>0</v>
      </c>
      <c r="AG589" s="996">
        <f t="shared" si="1304"/>
        <v>0</v>
      </c>
      <c r="AH589" s="996">
        <f t="shared" si="1304"/>
        <v>0</v>
      </c>
      <c r="AI589" s="996">
        <f t="shared" si="1304"/>
        <v>0</v>
      </c>
      <c r="AJ589" s="996">
        <f t="shared" si="1304"/>
        <v>0</v>
      </c>
      <c r="AK589" s="996">
        <f t="shared" si="1304"/>
        <v>0</v>
      </c>
      <c r="AL589" s="996">
        <f t="shared" si="1305" ref="AL589:AQ589">ROUND(INDEX(MO_II_NetII,0,COLUMN())-INDEX(MO_RIS_NetII,0,COLUMN()),6)</f>
        <v>0</v>
      </c>
      <c r="AM589" s="996">
        <f t="shared" si="1305"/>
        <v>0</v>
      </c>
      <c r="AN589" s="996">
        <f t="shared" si="1305"/>
        <v>0</v>
      </c>
      <c r="AO589" s="996">
        <f t="shared" si="1305"/>
        <v>0</v>
      </c>
      <c r="AP589" s="996">
        <f t="shared" si="1305"/>
        <v>0</v>
      </c>
      <c r="AQ589" s="996">
        <f t="shared" si="1305"/>
        <v>0</v>
      </c>
      <c r="AR589" s="996">
        <f t="shared" si="1306" ref="AR589:AW589">ROUND(INDEX(MO_II_NetII,0,COLUMN())-INDEX(MO_RIS_NetII,0,COLUMN()),6)</f>
        <v>0</v>
      </c>
      <c r="AS589" s="996">
        <f t="shared" si="1306"/>
        <v>0</v>
      </c>
      <c r="AT589" s="996">
        <f t="shared" si="1306"/>
        <v>0</v>
      </c>
      <c r="AU589" s="996">
        <f t="shared" si="1306"/>
        <v>0</v>
      </c>
      <c r="AV589" s="996">
        <f t="shared" si="1306"/>
        <v>0</v>
      </c>
      <c r="AW589" s="996">
        <f t="shared" si="1306"/>
        <v>0</v>
      </c>
      <c r="AX589" s="996">
        <f t="shared" si="1307" ref="AX589:AZ589">ROUND(INDEX(MO_II_NetII,0,COLUMN())-INDEX(MO_RIS_NetII,0,COLUMN()),6)</f>
        <v>0</v>
      </c>
      <c r="AY589" s="996">
        <f t="shared" si="1307"/>
        <v>0</v>
      </c>
      <c r="AZ589" s="996">
        <f t="shared" si="1307"/>
        <v>0</v>
      </c>
      <c r="BA589" s="996">
        <f t="shared" si="1308" ref="BA589:BI589">ROUND(INDEX(MO_II_NetII,0,COLUMN())-INDEX(MO_RIS_NetII,0,COLUMN()),6)</f>
        <v>0</v>
      </c>
      <c r="BB589" s="996">
        <f t="shared" si="1308"/>
        <v>0</v>
      </c>
      <c r="BC589" s="996">
        <f t="shared" si="1308"/>
        <v>0</v>
      </c>
      <c r="BD589" s="996">
        <f t="shared" si="1308"/>
        <v>0</v>
      </c>
      <c r="BE589" s="996">
        <f t="shared" si="1308"/>
        <v>0</v>
      </c>
      <c r="BF589" s="996">
        <f>ROUND(INDEX(MO_II_NetII,0,COLUMN())-INDEX(MO_RIS_NetII,0,COLUMN()),6)</f>
        <v>0</v>
      </c>
      <c r="BG589" s="996">
        <f>ROUND(INDEX(MO_II_NetII,0,COLUMN())-INDEX(MO_RIS_NetII,0,COLUMN()),6)</f>
        <v>0</v>
      </c>
      <c r="BH589" s="997">
        <f>ROUND(INDEX(MO_II_NetII,0,COLUMN())-INDEX(MO_RIS_NetII,0,COLUMN()),6)</f>
        <v>0</v>
      </c>
      <c r="BI589" s="998">
        <f t="shared" si="1308"/>
        <v>0</v>
      </c>
      <c r="BJ589" s="998">
        <f>ROUND(INDEX(MO_II_NetII,0,COLUMN())-INDEX(MO_RIS_NetII,0,COLUMN()),6)</f>
        <v>0</v>
      </c>
      <c r="BK589" s="998">
        <f t="shared" si="1309" ref="BK589:BR589">ROUND(INDEX(MO_II_NetII,0,COLUMN())-INDEX(MO_RIS_NetII,0,COLUMN()),6)</f>
        <v>0</v>
      </c>
      <c r="BL589" s="998">
        <f t="shared" si="1309"/>
        <v>0</v>
      </c>
      <c r="BM589" s="998">
        <f t="shared" si="1309"/>
        <v>0</v>
      </c>
      <c r="BN589" s="998">
        <f t="shared" si="1309"/>
        <v>0</v>
      </c>
      <c r="BO589" s="998">
        <f t="shared" si="1309"/>
        <v>0</v>
      </c>
      <c r="BP589" s="996">
        <f t="shared" si="1309"/>
        <v>0</v>
      </c>
      <c r="BQ589" s="996">
        <f t="shared" si="1309"/>
        <v>0</v>
      </c>
      <c r="BR589" s="998">
        <f t="shared" si="1309"/>
        <v>0</v>
      </c>
      <c r="BS589" s="664"/>
    </row>
    <row r="590" spans="1:71" s="667" customFormat="1" ht="15">
      <c r="A590" s="664" t="s">
        <v>363</v>
      </c>
      <c r="B590" s="542"/>
      <c r="C590" s="996">
        <f t="shared" si="1310" ref="C590:AK590">ROUND(INDEX(MO_II_NetIG,0,COLUMN())-INDEX(MO_RIS_NetIG,0,COLUMN()),6)</f>
        <v>0</v>
      </c>
      <c r="D590" s="996">
        <f t="shared" si="1310"/>
        <v>0</v>
      </c>
      <c r="E590" s="996">
        <f t="shared" si="1310"/>
        <v>0</v>
      </c>
      <c r="F590" s="996">
        <f t="shared" si="1310"/>
        <v>0</v>
      </c>
      <c r="G590" s="996">
        <f t="shared" si="1310"/>
        <v>0</v>
      </c>
      <c r="H590" s="996">
        <f t="shared" si="1310"/>
        <v>0</v>
      </c>
      <c r="I590" s="996">
        <f t="shared" si="1310"/>
        <v>0</v>
      </c>
      <c r="J590" s="996">
        <f t="shared" si="1310"/>
        <v>0</v>
      </c>
      <c r="K590" s="996">
        <f t="shared" si="1310"/>
        <v>0</v>
      </c>
      <c r="L590" s="996">
        <f t="shared" si="1310"/>
        <v>0</v>
      </c>
      <c r="M590" s="996">
        <f t="shared" si="1310"/>
        <v>0</v>
      </c>
      <c r="N590" s="996">
        <f t="shared" si="1310"/>
        <v>0</v>
      </c>
      <c r="O590" s="996">
        <f t="shared" si="1310"/>
        <v>0</v>
      </c>
      <c r="P590" s="996">
        <f t="shared" si="1310"/>
        <v>0</v>
      </c>
      <c r="Q590" s="996">
        <f t="shared" si="1310"/>
        <v>0</v>
      </c>
      <c r="R590" s="996">
        <f t="shared" si="1310"/>
        <v>0</v>
      </c>
      <c r="S590" s="996">
        <f t="shared" si="1310"/>
        <v>0</v>
      </c>
      <c r="T590" s="996">
        <f t="shared" si="1310"/>
        <v>0</v>
      </c>
      <c r="U590" s="996">
        <f t="shared" si="1310"/>
        <v>0</v>
      </c>
      <c r="V590" s="996">
        <f t="shared" si="1310"/>
        <v>0</v>
      </c>
      <c r="W590" s="996">
        <f t="shared" si="1310"/>
        <v>0</v>
      </c>
      <c r="X590" s="996">
        <f t="shared" si="1310"/>
        <v>0</v>
      </c>
      <c r="Y590" s="996">
        <f t="shared" si="1310"/>
        <v>0</v>
      </c>
      <c r="Z590" s="996">
        <f t="shared" si="1310"/>
        <v>0</v>
      </c>
      <c r="AA590" s="996">
        <f t="shared" si="1310"/>
        <v>0</v>
      </c>
      <c r="AB590" s="996">
        <f t="shared" si="1310"/>
        <v>0</v>
      </c>
      <c r="AC590" s="996">
        <f t="shared" si="1310"/>
        <v>0</v>
      </c>
      <c r="AD590" s="996">
        <f t="shared" si="1310"/>
        <v>0</v>
      </c>
      <c r="AE590" s="996">
        <f t="shared" si="1310"/>
        <v>0</v>
      </c>
      <c r="AF590" s="996">
        <f t="shared" si="1310"/>
        <v>0</v>
      </c>
      <c r="AG590" s="996">
        <f t="shared" si="1310"/>
        <v>0</v>
      </c>
      <c r="AH590" s="996">
        <f t="shared" si="1310"/>
        <v>0</v>
      </c>
      <c r="AI590" s="996">
        <f t="shared" si="1310"/>
        <v>0</v>
      </c>
      <c r="AJ590" s="996">
        <f t="shared" si="1310"/>
        <v>0</v>
      </c>
      <c r="AK590" s="996">
        <f t="shared" si="1310"/>
        <v>0</v>
      </c>
      <c r="AL590" s="996">
        <f t="shared" si="1311" ref="AL590:AQ590">ROUND(INDEX(MO_II_NetIG,0,COLUMN())-INDEX(MO_RIS_NetIG,0,COLUMN()),6)</f>
        <v>0</v>
      </c>
      <c r="AM590" s="996">
        <f t="shared" si="1311"/>
        <v>0</v>
      </c>
      <c r="AN590" s="996">
        <f t="shared" si="1311"/>
        <v>0</v>
      </c>
      <c r="AO590" s="996">
        <f t="shared" si="1311"/>
        <v>0</v>
      </c>
      <c r="AP590" s="996">
        <f t="shared" si="1311"/>
        <v>0</v>
      </c>
      <c r="AQ590" s="996">
        <f t="shared" si="1311"/>
        <v>0</v>
      </c>
      <c r="AR590" s="996">
        <f t="shared" si="1312" ref="AR590:AW590">ROUND(INDEX(MO_II_NetIG,0,COLUMN())-INDEX(MO_RIS_NetIG,0,COLUMN()),6)</f>
        <v>0</v>
      </c>
      <c r="AS590" s="996">
        <f t="shared" si="1312"/>
        <v>0</v>
      </c>
      <c r="AT590" s="996">
        <f t="shared" si="1312"/>
        <v>0</v>
      </c>
      <c r="AU590" s="996">
        <f t="shared" si="1312"/>
        <v>0</v>
      </c>
      <c r="AV590" s="996">
        <f t="shared" si="1312"/>
        <v>0</v>
      </c>
      <c r="AW590" s="996">
        <f t="shared" si="1312"/>
        <v>0</v>
      </c>
      <c r="AX590" s="996">
        <f t="shared" si="1313" ref="AX590:BJ590">ROUND(INDEX(MO_II_NetIG,0,COLUMN())-INDEX(MO_RIS_NetIG,0,COLUMN()),6)</f>
        <v>0</v>
      </c>
      <c r="AY590" s="996">
        <f t="shared" si="1313"/>
        <v>0</v>
      </c>
      <c r="AZ590" s="996">
        <f t="shared" si="1313"/>
        <v>0</v>
      </c>
      <c r="BA590" s="996">
        <f t="shared" si="1314" ref="BA590:BI590">ROUND(INDEX(MO_II_NetIG,0,COLUMN())-INDEX(MO_RIS_NetIG,0,COLUMN()),6)</f>
        <v>0</v>
      </c>
      <c r="BB590" s="996">
        <f t="shared" si="1314"/>
        <v>0</v>
      </c>
      <c r="BC590" s="996">
        <f t="shared" si="1314"/>
        <v>0</v>
      </c>
      <c r="BD590" s="996">
        <f t="shared" si="1314"/>
        <v>0</v>
      </c>
      <c r="BE590" s="996">
        <f t="shared" si="1314"/>
        <v>0</v>
      </c>
      <c r="BF590" s="996">
        <f>ROUND(INDEX(MO_II_NetIG,0,COLUMN())-INDEX(MO_RIS_NetIG,0,COLUMN()),6)</f>
        <v>0</v>
      </c>
      <c r="BG590" s="996">
        <f>ROUND(INDEX(MO_II_NetIG,0,COLUMN())-INDEX(MO_RIS_NetIG,0,COLUMN()),6)</f>
        <v>0</v>
      </c>
      <c r="BH590" s="997">
        <f>ROUND(INDEX(MO_II_NetIG,0,COLUMN())-INDEX(MO_RIS_NetIG,0,COLUMN()),6)</f>
        <v>0</v>
      </c>
      <c r="BI590" s="998">
        <f t="shared" si="1314"/>
        <v>0</v>
      </c>
      <c r="BJ590" s="998">
        <f t="shared" si="1313"/>
        <v>0</v>
      </c>
      <c r="BK590" s="998">
        <f t="shared" si="1315" ref="BK590:BR590">ROUND(INDEX(MO_II_NetIG,0,COLUMN())-INDEX(MO_RIS_NetIG,0,COLUMN()),6)</f>
        <v>0</v>
      </c>
      <c r="BL590" s="998">
        <f t="shared" si="1315"/>
        <v>0</v>
      </c>
      <c r="BM590" s="998">
        <f t="shared" si="1315"/>
        <v>0</v>
      </c>
      <c r="BN590" s="998">
        <f t="shared" si="1315"/>
        <v>0</v>
      </c>
      <c r="BO590" s="998">
        <f t="shared" si="1315"/>
        <v>0</v>
      </c>
      <c r="BP590" s="996">
        <f t="shared" si="1315"/>
        <v>0</v>
      </c>
      <c r="BQ590" s="996">
        <f t="shared" si="1315"/>
        <v>0</v>
      </c>
      <c r="BR590" s="998">
        <f t="shared" si="1315"/>
        <v>0</v>
      </c>
      <c r="BS590" s="664"/>
    </row>
    <row r="591" spans="1:71" s="667" customFormat="1" ht="15">
      <c r="A591" s="664" t="s">
        <v>364</v>
      </c>
      <c r="B591" s="542"/>
      <c r="C591" s="996">
        <f t="shared" si="1316" ref="C591:AK591">ROUND(INDEX(MO_UI_UnderwritingExpense,0,COLUMN())-INDEX(MO_UI_Loss,0,COLUMN())-INDEX(MO_UI_OOE,0,COLUMN()),6)</f>
        <v>0</v>
      </c>
      <c r="D591" s="996">
        <f t="shared" si="1316"/>
        <v>0</v>
      </c>
      <c r="E591" s="996">
        <f t="shared" si="1316"/>
        <v>0</v>
      </c>
      <c r="F591" s="996">
        <f t="shared" si="1316"/>
        <v>0</v>
      </c>
      <c r="G591" s="996">
        <f t="shared" si="1316"/>
        <v>0</v>
      </c>
      <c r="H591" s="996">
        <f t="shared" si="1316"/>
        <v>0</v>
      </c>
      <c r="I591" s="996">
        <f t="shared" si="1316"/>
        <v>0</v>
      </c>
      <c r="J591" s="996">
        <f t="shared" si="1316"/>
        <v>0</v>
      </c>
      <c r="K591" s="996">
        <f t="shared" si="1316"/>
        <v>0</v>
      </c>
      <c r="L591" s="996">
        <f t="shared" si="1316"/>
        <v>0</v>
      </c>
      <c r="M591" s="996">
        <f t="shared" si="1316"/>
        <v>0</v>
      </c>
      <c r="N591" s="996">
        <f t="shared" si="1316"/>
        <v>0</v>
      </c>
      <c r="O591" s="996">
        <f t="shared" si="1316"/>
        <v>0</v>
      </c>
      <c r="P591" s="996">
        <f t="shared" si="1316"/>
        <v>0</v>
      </c>
      <c r="Q591" s="996">
        <f t="shared" si="1316"/>
        <v>0</v>
      </c>
      <c r="R591" s="996">
        <f t="shared" si="1316"/>
        <v>0</v>
      </c>
      <c r="S591" s="996">
        <f t="shared" si="1316"/>
        <v>0</v>
      </c>
      <c r="T591" s="996">
        <f t="shared" si="1316"/>
        <v>0</v>
      </c>
      <c r="U591" s="996">
        <f t="shared" si="1316"/>
        <v>0</v>
      </c>
      <c r="V591" s="996">
        <f t="shared" si="1316"/>
        <v>0</v>
      </c>
      <c r="W591" s="996">
        <f t="shared" si="1316"/>
        <v>0</v>
      </c>
      <c r="X591" s="996">
        <f t="shared" si="1316"/>
        <v>0</v>
      </c>
      <c r="Y591" s="996">
        <f t="shared" si="1316"/>
        <v>0</v>
      </c>
      <c r="Z591" s="996">
        <f t="shared" si="1316"/>
        <v>0</v>
      </c>
      <c r="AA591" s="996">
        <f t="shared" si="1316"/>
        <v>0</v>
      </c>
      <c r="AB591" s="996">
        <f t="shared" si="1316"/>
        <v>0</v>
      </c>
      <c r="AC591" s="996">
        <f t="shared" si="1316"/>
        <v>0</v>
      </c>
      <c r="AD591" s="996">
        <f t="shared" si="1316"/>
        <v>0</v>
      </c>
      <c r="AE591" s="996">
        <f t="shared" si="1316"/>
        <v>0</v>
      </c>
      <c r="AF591" s="996">
        <f t="shared" si="1316"/>
        <v>0</v>
      </c>
      <c r="AG591" s="996">
        <f t="shared" si="1316"/>
        <v>0</v>
      </c>
      <c r="AH591" s="996">
        <f t="shared" si="1316"/>
        <v>0</v>
      </c>
      <c r="AI591" s="996">
        <f t="shared" si="1316"/>
        <v>0</v>
      </c>
      <c r="AJ591" s="996">
        <f t="shared" si="1316"/>
        <v>0</v>
      </c>
      <c r="AK591" s="996">
        <f t="shared" si="1316"/>
        <v>0</v>
      </c>
      <c r="AL591" s="996">
        <f t="shared" si="1317" ref="AL591:AQ591">ROUND(INDEX(MO_UI_UnderwritingExpense,0,COLUMN())-INDEX(MO_UI_Loss,0,COLUMN())-INDEX(MO_UI_OOE,0,COLUMN()),6)</f>
        <v>0</v>
      </c>
      <c r="AM591" s="996">
        <f t="shared" si="1317"/>
        <v>0</v>
      </c>
      <c r="AN591" s="996">
        <f t="shared" si="1317"/>
        <v>0</v>
      </c>
      <c r="AO591" s="996">
        <f t="shared" si="1317"/>
        <v>0</v>
      </c>
      <c r="AP591" s="996">
        <f t="shared" si="1317"/>
        <v>0</v>
      </c>
      <c r="AQ591" s="996">
        <f t="shared" si="1317"/>
        <v>0</v>
      </c>
      <c r="AR591" s="996">
        <f t="shared" si="1318" ref="AR591:AW591">ROUND(INDEX(MO_UI_UnderwritingExpense,0,COLUMN())-INDEX(MO_UI_Loss,0,COLUMN())-INDEX(MO_UI_OOE,0,COLUMN()),6)</f>
        <v>0</v>
      </c>
      <c r="AS591" s="996">
        <f t="shared" si="1318"/>
        <v>0</v>
      </c>
      <c r="AT591" s="996">
        <f t="shared" si="1318"/>
        <v>0</v>
      </c>
      <c r="AU591" s="996">
        <f t="shared" si="1318"/>
        <v>0</v>
      </c>
      <c r="AV591" s="996">
        <f t="shared" si="1318"/>
        <v>0</v>
      </c>
      <c r="AW591" s="996">
        <f t="shared" si="1318"/>
        <v>0</v>
      </c>
      <c r="AX591" s="996">
        <f t="shared" si="1319" ref="AX591:BJ591">ROUND(INDEX(MO_UI_UnderwritingExpense,0,COLUMN())-INDEX(MO_UI_Loss,0,COLUMN())-INDEX(MO_UI_OOE,0,COLUMN()),6)</f>
        <v>0</v>
      </c>
      <c r="AY591" s="996">
        <f t="shared" si="1319"/>
        <v>0</v>
      </c>
      <c r="AZ591" s="996">
        <f t="shared" si="1319"/>
        <v>0</v>
      </c>
      <c r="BA591" s="996">
        <f t="shared" si="1320" ref="BA591:BI591">ROUND(INDEX(MO_UI_UnderwritingExpense,0,COLUMN())-INDEX(MO_UI_Loss,0,COLUMN())-INDEX(MO_UI_OOE,0,COLUMN()),6)</f>
        <v>0</v>
      </c>
      <c r="BB591" s="996">
        <f t="shared" si="1320"/>
        <v>0</v>
      </c>
      <c r="BC591" s="996">
        <f t="shared" si="1320"/>
        <v>0</v>
      </c>
      <c r="BD591" s="996">
        <f t="shared" si="1320"/>
        <v>0</v>
      </c>
      <c r="BE591" s="996">
        <f t="shared" si="1320"/>
        <v>0</v>
      </c>
      <c r="BF591" s="996">
        <f>ROUND(INDEX(MO_UI_UnderwritingExpense,0,COLUMN())-INDEX(MO_UI_Loss,0,COLUMN())-INDEX(MO_UI_OOE,0,COLUMN()),6)</f>
        <v>0</v>
      </c>
      <c r="BG591" s="996">
        <f>ROUND(INDEX(MO_UI_UnderwritingExpense,0,COLUMN())-INDEX(MO_UI_Loss,0,COLUMN())-INDEX(MO_UI_OOE,0,COLUMN()),6)</f>
        <v>0</v>
      </c>
      <c r="BH591" s="997">
        <f>ROUND(INDEX(MO_UI_UnderwritingExpense,0,COLUMN())-INDEX(MO_UI_Loss,0,COLUMN())-INDEX(MO_UI_OOE,0,COLUMN()),6)</f>
        <v>0</v>
      </c>
      <c r="BI591" s="998">
        <f t="shared" si="1320"/>
        <v>0</v>
      </c>
      <c r="BJ591" s="998">
        <f t="shared" si="1319"/>
        <v>0</v>
      </c>
      <c r="BK591" s="998">
        <f t="shared" si="1321" ref="BK591:BR591">ROUND(INDEX(MO_UI_UnderwritingExpense,0,COLUMN())-INDEX(MO_UI_Loss,0,COLUMN())-INDEX(MO_UI_OOE,0,COLUMN()),6)</f>
        <v>0</v>
      </c>
      <c r="BL591" s="998">
        <f t="shared" si="1321"/>
        <v>0</v>
      </c>
      <c r="BM591" s="998">
        <f t="shared" si="1321"/>
        <v>0</v>
      </c>
      <c r="BN591" s="998">
        <f t="shared" si="1321"/>
        <v>0</v>
      </c>
      <c r="BO591" s="998">
        <f t="shared" si="1321"/>
        <v>0</v>
      </c>
      <c r="BP591" s="996">
        <f t="shared" si="1321"/>
        <v>0</v>
      </c>
      <c r="BQ591" s="996">
        <f t="shared" si="1321"/>
        <v>0</v>
      </c>
      <c r="BR591" s="998">
        <f t="shared" si="1321"/>
        <v>0</v>
      </c>
      <c r="BS591" s="664"/>
    </row>
    <row r="592" spans="1:71" s="667" customFormat="1" ht="15">
      <c r="A592" s="664" t="s">
        <v>365</v>
      </c>
      <c r="B592" s="542"/>
      <c r="C592" s="996">
        <f t="shared" si="1322" ref="C592:AK592">ROUND(INDEX(MO_UPR_GUPR,0,COLUMN())-C557,6)</f>
        <v>0</v>
      </c>
      <c r="D592" s="996">
        <f t="shared" si="1322"/>
        <v>0</v>
      </c>
      <c r="E592" s="996">
        <f t="shared" si="1322"/>
        <v>0</v>
      </c>
      <c r="F592" s="996">
        <f t="shared" si="1322"/>
        <v>0</v>
      </c>
      <c r="G592" s="996">
        <f t="shared" si="1322"/>
        <v>0</v>
      </c>
      <c r="H592" s="996">
        <f t="shared" si="1322"/>
        <v>0</v>
      </c>
      <c r="I592" s="996">
        <f t="shared" si="1322"/>
        <v>0</v>
      </c>
      <c r="J592" s="996">
        <f t="shared" si="1322"/>
        <v>0</v>
      </c>
      <c r="K592" s="996">
        <f t="shared" si="1322"/>
        <v>0</v>
      </c>
      <c r="L592" s="996">
        <f t="shared" si="1322"/>
        <v>0</v>
      </c>
      <c r="M592" s="996">
        <f t="shared" si="1322"/>
        <v>0</v>
      </c>
      <c r="N592" s="996">
        <f t="shared" si="1322"/>
        <v>0</v>
      </c>
      <c r="O592" s="996">
        <f t="shared" si="1322"/>
        <v>0</v>
      </c>
      <c r="P592" s="996">
        <f t="shared" si="1322"/>
        <v>0</v>
      </c>
      <c r="Q592" s="996">
        <f t="shared" si="1322"/>
        <v>0</v>
      </c>
      <c r="R592" s="996">
        <f t="shared" si="1322"/>
        <v>0</v>
      </c>
      <c r="S592" s="996">
        <f t="shared" si="1322"/>
        <v>0</v>
      </c>
      <c r="T592" s="996">
        <f t="shared" si="1322"/>
        <v>0</v>
      </c>
      <c r="U592" s="996">
        <f t="shared" si="1322"/>
        <v>0</v>
      </c>
      <c r="V592" s="996">
        <f t="shared" si="1322"/>
        <v>0</v>
      </c>
      <c r="W592" s="996">
        <f t="shared" si="1322"/>
        <v>0</v>
      </c>
      <c r="X592" s="996">
        <f t="shared" si="1322"/>
        <v>0</v>
      </c>
      <c r="Y592" s="996">
        <f t="shared" si="1322"/>
        <v>0</v>
      </c>
      <c r="Z592" s="996">
        <f t="shared" si="1322"/>
        <v>0</v>
      </c>
      <c r="AA592" s="996">
        <f t="shared" si="1322"/>
        <v>0</v>
      </c>
      <c r="AB592" s="996">
        <f t="shared" si="1322"/>
        <v>0</v>
      </c>
      <c r="AC592" s="996">
        <f t="shared" si="1322"/>
        <v>0</v>
      </c>
      <c r="AD592" s="996">
        <f t="shared" si="1322"/>
        <v>0</v>
      </c>
      <c r="AE592" s="996">
        <f t="shared" si="1322"/>
        <v>0</v>
      </c>
      <c r="AF592" s="996">
        <f t="shared" si="1322"/>
        <v>0</v>
      </c>
      <c r="AG592" s="996">
        <f t="shared" si="1322"/>
        <v>0</v>
      </c>
      <c r="AH592" s="996">
        <f t="shared" si="1322"/>
        <v>0</v>
      </c>
      <c r="AI592" s="996">
        <f t="shared" si="1322"/>
        <v>0</v>
      </c>
      <c r="AJ592" s="996">
        <f t="shared" si="1322"/>
        <v>0</v>
      </c>
      <c r="AK592" s="996">
        <f t="shared" si="1322"/>
        <v>0</v>
      </c>
      <c r="AL592" s="996">
        <f t="shared" si="1323" ref="AL592:AQ592">ROUND(INDEX(MO_UPR_GUPR,0,COLUMN())-AL557,6)</f>
        <v>0</v>
      </c>
      <c r="AM592" s="996">
        <f t="shared" si="1323"/>
        <v>0</v>
      </c>
      <c r="AN592" s="996">
        <f t="shared" si="1323"/>
        <v>0</v>
      </c>
      <c r="AO592" s="996">
        <f t="shared" si="1323"/>
        <v>0</v>
      </c>
      <c r="AP592" s="996">
        <f t="shared" si="1323"/>
        <v>0</v>
      </c>
      <c r="AQ592" s="996">
        <f t="shared" si="1323"/>
        <v>0</v>
      </c>
      <c r="AR592" s="996">
        <f t="shared" si="1324" ref="AR592:AW592">ROUND(INDEX(MO_UPR_GUPR,0,COLUMN())-AR557,6)</f>
        <v>0</v>
      </c>
      <c r="AS592" s="996">
        <f t="shared" si="1324"/>
        <v>0</v>
      </c>
      <c r="AT592" s="996">
        <f t="shared" si="1324"/>
        <v>0</v>
      </c>
      <c r="AU592" s="996">
        <f t="shared" si="1324"/>
        <v>0</v>
      </c>
      <c r="AV592" s="996">
        <f t="shared" si="1324"/>
        <v>0</v>
      </c>
      <c r="AW592" s="996">
        <f t="shared" si="1324"/>
        <v>0</v>
      </c>
      <c r="AX592" s="996">
        <f t="shared" si="1325" ref="AX592:BJ592">ROUND(INDEX(MO_UPR_GUPR,0,COLUMN())-AX557,6)</f>
        <v>0</v>
      </c>
      <c r="AY592" s="996">
        <f t="shared" si="1325"/>
        <v>0</v>
      </c>
      <c r="AZ592" s="996">
        <f t="shared" si="1325"/>
        <v>0</v>
      </c>
      <c r="BA592" s="996">
        <f t="shared" si="1326" ref="BA592:BI592">ROUND(INDEX(MO_UPR_GUPR,0,COLUMN())-BA557,6)</f>
        <v>0</v>
      </c>
      <c r="BB592" s="996">
        <f t="shared" si="1326"/>
        <v>0</v>
      </c>
      <c r="BC592" s="996">
        <f t="shared" si="1326"/>
        <v>0</v>
      </c>
      <c r="BD592" s="996">
        <f t="shared" si="1326"/>
        <v>0</v>
      </c>
      <c r="BE592" s="996">
        <f t="shared" si="1326"/>
        <v>0</v>
      </c>
      <c r="BF592" s="996">
        <f>ROUND(INDEX(MO_UPR_GUPR,0,COLUMN())-BF557,6)</f>
        <v>0</v>
      </c>
      <c r="BG592" s="996">
        <f>ROUND(INDEX(MO_UPR_GUPR,0,COLUMN())-BG557,6)</f>
        <v>0</v>
      </c>
      <c r="BH592" s="997">
        <f>ROUND(INDEX(MO_UPR_GUPR,0,COLUMN())-BH557,6)</f>
        <v>0</v>
      </c>
      <c r="BI592" s="998">
        <f t="shared" si="1326"/>
        <v>0</v>
      </c>
      <c r="BJ592" s="998">
        <f t="shared" si="1325"/>
        <v>0</v>
      </c>
      <c r="BK592" s="998">
        <f t="shared" si="1327" ref="BK592:BR592">ROUND(INDEX(MO_UPR_GUPR,0,COLUMN())-BK557,6)</f>
        <v>0</v>
      </c>
      <c r="BL592" s="998">
        <f t="shared" si="1327"/>
        <v>0</v>
      </c>
      <c r="BM592" s="998">
        <f t="shared" si="1327"/>
        <v>0</v>
      </c>
      <c r="BN592" s="998">
        <f t="shared" si="1327"/>
        <v>0</v>
      </c>
      <c r="BO592" s="998">
        <f t="shared" si="1327"/>
        <v>0</v>
      </c>
      <c r="BP592" s="996">
        <f t="shared" si="1327"/>
        <v>0</v>
      </c>
      <c r="BQ592" s="996">
        <f t="shared" si="1327"/>
        <v>0</v>
      </c>
      <c r="BR592" s="998">
        <f t="shared" si="1327"/>
        <v>0</v>
      </c>
      <c r="BS592" s="664"/>
    </row>
    <row r="593" spans="1:71" s="667" customFormat="1" ht="15">
      <c r="A593" s="664" t="s">
        <v>366</v>
      </c>
      <c r="B593" s="542"/>
      <c r="C593" s="996">
        <f t="shared" si="1328" ref="C593:AK593">ROUND(INDEX(MO_UPR_CUP,0,COLUMN())-C544,6)</f>
        <v>0</v>
      </c>
      <c r="D593" s="996">
        <f t="shared" si="1328"/>
        <v>0</v>
      </c>
      <c r="E593" s="996">
        <f t="shared" si="1328"/>
        <v>0</v>
      </c>
      <c r="F593" s="996">
        <f t="shared" si="1328"/>
        <v>0</v>
      </c>
      <c r="G593" s="996">
        <f t="shared" si="1328"/>
        <v>0</v>
      </c>
      <c r="H593" s="996">
        <f t="shared" si="1328"/>
        <v>0</v>
      </c>
      <c r="I593" s="996">
        <f t="shared" si="1328"/>
        <v>0</v>
      </c>
      <c r="J593" s="996">
        <f t="shared" si="1328"/>
        <v>0</v>
      </c>
      <c r="K593" s="996">
        <f t="shared" si="1328"/>
        <v>0</v>
      </c>
      <c r="L593" s="996">
        <f t="shared" si="1328"/>
        <v>0</v>
      </c>
      <c r="M593" s="996">
        <f t="shared" si="1328"/>
        <v>0</v>
      </c>
      <c r="N593" s="996">
        <f t="shared" si="1328"/>
        <v>0</v>
      </c>
      <c r="O593" s="996">
        <f t="shared" si="1328"/>
        <v>0</v>
      </c>
      <c r="P593" s="996">
        <f t="shared" si="1328"/>
        <v>0</v>
      </c>
      <c r="Q593" s="996">
        <f t="shared" si="1328"/>
        <v>0</v>
      </c>
      <c r="R593" s="996">
        <f t="shared" si="1328"/>
        <v>0</v>
      </c>
      <c r="S593" s="996">
        <f t="shared" si="1328"/>
        <v>0</v>
      </c>
      <c r="T593" s="996">
        <f t="shared" si="1328"/>
        <v>0</v>
      </c>
      <c r="U593" s="996">
        <f t="shared" si="1328"/>
        <v>0</v>
      </c>
      <c r="V593" s="996">
        <f t="shared" si="1328"/>
        <v>0</v>
      </c>
      <c r="W593" s="996">
        <f t="shared" si="1328"/>
        <v>0</v>
      </c>
      <c r="X593" s="996">
        <f t="shared" si="1328"/>
        <v>0</v>
      </c>
      <c r="Y593" s="996">
        <f t="shared" si="1328"/>
        <v>0</v>
      </c>
      <c r="Z593" s="996">
        <f t="shared" si="1328"/>
        <v>0</v>
      </c>
      <c r="AA593" s="996">
        <f t="shared" si="1328"/>
        <v>0</v>
      </c>
      <c r="AB593" s="996">
        <f t="shared" si="1328"/>
        <v>0</v>
      </c>
      <c r="AC593" s="996">
        <f t="shared" si="1328"/>
        <v>0</v>
      </c>
      <c r="AD593" s="996">
        <f t="shared" si="1328"/>
        <v>0</v>
      </c>
      <c r="AE593" s="996">
        <f t="shared" si="1328"/>
        <v>0</v>
      </c>
      <c r="AF593" s="996">
        <f t="shared" si="1328"/>
        <v>0</v>
      </c>
      <c r="AG593" s="996">
        <f t="shared" si="1328"/>
        <v>0</v>
      </c>
      <c r="AH593" s="996">
        <f t="shared" si="1328"/>
        <v>0</v>
      </c>
      <c r="AI593" s="996">
        <f t="shared" si="1328"/>
        <v>0</v>
      </c>
      <c r="AJ593" s="996">
        <f t="shared" si="1328"/>
        <v>0</v>
      </c>
      <c r="AK593" s="996">
        <f t="shared" si="1328"/>
        <v>0</v>
      </c>
      <c r="AL593" s="996">
        <f t="shared" si="1329" ref="AL593:AQ593">ROUND(INDEX(MO_UPR_CUP,0,COLUMN())-AL544,6)</f>
        <v>0</v>
      </c>
      <c r="AM593" s="996">
        <f t="shared" si="1329"/>
        <v>0</v>
      </c>
      <c r="AN593" s="996">
        <f t="shared" si="1329"/>
        <v>0</v>
      </c>
      <c r="AO593" s="996">
        <f t="shared" si="1329"/>
        <v>0</v>
      </c>
      <c r="AP593" s="996">
        <f t="shared" si="1329"/>
        <v>0</v>
      </c>
      <c r="AQ593" s="996">
        <f t="shared" si="1329"/>
        <v>0</v>
      </c>
      <c r="AR593" s="996">
        <f t="shared" si="1330" ref="AR593:AW593">ROUND(INDEX(MO_UPR_CUP,0,COLUMN())-AR544,6)</f>
        <v>0</v>
      </c>
      <c r="AS593" s="996">
        <f t="shared" si="1330"/>
        <v>0</v>
      </c>
      <c r="AT593" s="996">
        <f t="shared" si="1330"/>
        <v>0</v>
      </c>
      <c r="AU593" s="996">
        <f t="shared" si="1330"/>
        <v>0</v>
      </c>
      <c r="AV593" s="996">
        <f t="shared" si="1330"/>
        <v>0</v>
      </c>
      <c r="AW593" s="996">
        <f t="shared" si="1330"/>
        <v>0</v>
      </c>
      <c r="AX593" s="996">
        <f t="shared" si="1331" ref="AX593:BJ593">ROUND(INDEX(MO_UPR_CUP,0,COLUMN())-AX544,6)</f>
        <v>0</v>
      </c>
      <c r="AY593" s="996">
        <f t="shared" si="1331"/>
        <v>0</v>
      </c>
      <c r="AZ593" s="996">
        <f t="shared" si="1331"/>
        <v>0</v>
      </c>
      <c r="BA593" s="996">
        <f t="shared" si="1332" ref="BA593:BI593">ROUND(INDEX(MO_UPR_CUP,0,COLUMN())-BA544,6)</f>
        <v>0</v>
      </c>
      <c r="BB593" s="996">
        <f t="shared" si="1332"/>
        <v>0</v>
      </c>
      <c r="BC593" s="996">
        <f t="shared" si="1332"/>
        <v>0</v>
      </c>
      <c r="BD593" s="996">
        <f t="shared" si="1332"/>
        <v>0</v>
      </c>
      <c r="BE593" s="996">
        <f t="shared" si="1332"/>
        <v>0</v>
      </c>
      <c r="BF593" s="996">
        <f>ROUND(INDEX(MO_UPR_CUP,0,COLUMN())-BF544,6)</f>
        <v>0</v>
      </c>
      <c r="BG593" s="996">
        <f>ROUND(INDEX(MO_UPR_CUP,0,COLUMN())-BG544,6)</f>
        <v>0</v>
      </c>
      <c r="BH593" s="997">
        <f>ROUND(INDEX(MO_UPR_CUP,0,COLUMN())-BH544,6)</f>
        <v>0</v>
      </c>
      <c r="BI593" s="998">
        <f t="shared" si="1332"/>
        <v>0</v>
      </c>
      <c r="BJ593" s="998">
        <f t="shared" si="1331"/>
        <v>0</v>
      </c>
      <c r="BK593" s="998">
        <f t="shared" si="1333" ref="BK593:BR593">ROUND(INDEX(MO_UPR_CUP,0,COLUMN())-BK544,6)</f>
        <v>0</v>
      </c>
      <c r="BL593" s="998">
        <f t="shared" si="1333"/>
        <v>0</v>
      </c>
      <c r="BM593" s="998">
        <f t="shared" si="1333"/>
        <v>0</v>
      </c>
      <c r="BN593" s="998">
        <f t="shared" si="1333"/>
        <v>0</v>
      </c>
      <c r="BO593" s="998">
        <f t="shared" si="1333"/>
        <v>0</v>
      </c>
      <c r="BP593" s="996">
        <f t="shared" si="1333"/>
        <v>0</v>
      </c>
      <c r="BQ593" s="996">
        <f t="shared" si="1333"/>
        <v>0</v>
      </c>
      <c r="BR593" s="998">
        <f t="shared" si="1333"/>
        <v>0</v>
      </c>
      <c r="BS593" s="664"/>
    </row>
    <row r="594" spans="1:71" s="667" customFormat="1" ht="15">
      <c r="A594" s="664" t="s">
        <v>367</v>
      </c>
      <c r="B594" s="542"/>
      <c r="C594" s="996">
        <f t="shared" si="1334" ref="C594:AK594">ROUND(INDEX(MO_LR_GLR,0,COLUMN())-C556,6)</f>
        <v>0</v>
      </c>
      <c r="D594" s="996">
        <f t="shared" si="1334"/>
        <v>0</v>
      </c>
      <c r="E594" s="996">
        <f t="shared" si="1334"/>
        <v>0</v>
      </c>
      <c r="F594" s="996">
        <f t="shared" si="1334"/>
        <v>0</v>
      </c>
      <c r="G594" s="996">
        <f t="shared" si="1334"/>
        <v>0</v>
      </c>
      <c r="H594" s="996">
        <f t="shared" si="1334"/>
        <v>0</v>
      </c>
      <c r="I594" s="996">
        <f t="shared" si="1334"/>
        <v>0</v>
      </c>
      <c r="J594" s="996">
        <f t="shared" si="1334"/>
        <v>0</v>
      </c>
      <c r="K594" s="996">
        <f t="shared" si="1334"/>
        <v>0</v>
      </c>
      <c r="L594" s="996">
        <f t="shared" si="1334"/>
        <v>0</v>
      </c>
      <c r="M594" s="996">
        <f t="shared" si="1334"/>
        <v>0</v>
      </c>
      <c r="N594" s="996">
        <f t="shared" si="1334"/>
        <v>0</v>
      </c>
      <c r="O594" s="996">
        <f t="shared" si="1334"/>
        <v>0</v>
      </c>
      <c r="P594" s="996">
        <f t="shared" si="1334"/>
        <v>0</v>
      </c>
      <c r="Q594" s="996">
        <f t="shared" si="1334"/>
        <v>0</v>
      </c>
      <c r="R594" s="996">
        <f t="shared" si="1334"/>
        <v>0</v>
      </c>
      <c r="S594" s="996">
        <f t="shared" si="1334"/>
        <v>0</v>
      </c>
      <c r="T594" s="996">
        <f t="shared" si="1334"/>
        <v>0</v>
      </c>
      <c r="U594" s="996">
        <f t="shared" si="1334"/>
        <v>0</v>
      </c>
      <c r="V594" s="996">
        <f t="shared" si="1334"/>
        <v>0</v>
      </c>
      <c r="W594" s="996">
        <f t="shared" si="1334"/>
        <v>0</v>
      </c>
      <c r="X594" s="996">
        <f t="shared" si="1334"/>
        <v>0</v>
      </c>
      <c r="Y594" s="996">
        <f t="shared" si="1334"/>
        <v>0</v>
      </c>
      <c r="Z594" s="996">
        <f t="shared" si="1334"/>
        <v>0</v>
      </c>
      <c r="AA594" s="996">
        <f t="shared" si="1334"/>
        <v>0</v>
      </c>
      <c r="AB594" s="996">
        <f t="shared" si="1334"/>
        <v>0</v>
      </c>
      <c r="AC594" s="996">
        <f t="shared" si="1334"/>
        <v>0</v>
      </c>
      <c r="AD594" s="996">
        <f t="shared" si="1334"/>
        <v>0</v>
      </c>
      <c r="AE594" s="996">
        <f t="shared" si="1334"/>
        <v>0</v>
      </c>
      <c r="AF594" s="996">
        <f t="shared" si="1334"/>
        <v>0</v>
      </c>
      <c r="AG594" s="996">
        <f t="shared" si="1334"/>
        <v>0</v>
      </c>
      <c r="AH594" s="996">
        <f t="shared" si="1334"/>
        <v>0</v>
      </c>
      <c r="AI594" s="996">
        <f t="shared" si="1334"/>
        <v>0</v>
      </c>
      <c r="AJ594" s="996">
        <f t="shared" si="1334"/>
        <v>0</v>
      </c>
      <c r="AK594" s="996">
        <f t="shared" si="1334"/>
        <v>0</v>
      </c>
      <c r="AL594" s="996">
        <f t="shared" si="1335" ref="AL594:AQ594">ROUND(INDEX(MO_LR_GLR,0,COLUMN())-AL556,6)</f>
        <v>0</v>
      </c>
      <c r="AM594" s="996">
        <f t="shared" si="1335"/>
        <v>0</v>
      </c>
      <c r="AN594" s="996">
        <f t="shared" si="1335"/>
        <v>0</v>
      </c>
      <c r="AO594" s="996">
        <f t="shared" si="1335"/>
        <v>0</v>
      </c>
      <c r="AP594" s="996">
        <f t="shared" si="1335"/>
        <v>0</v>
      </c>
      <c r="AQ594" s="996">
        <f t="shared" si="1335"/>
        <v>0</v>
      </c>
      <c r="AR594" s="996">
        <f t="shared" si="1336" ref="AR594:AW594">ROUND(INDEX(MO_LR_GLR,0,COLUMN())-AR556,6)</f>
        <v>0</v>
      </c>
      <c r="AS594" s="996">
        <f t="shared" si="1336"/>
        <v>0</v>
      </c>
      <c r="AT594" s="996">
        <f t="shared" si="1336"/>
        <v>0</v>
      </c>
      <c r="AU594" s="996">
        <f t="shared" si="1336"/>
        <v>0</v>
      </c>
      <c r="AV594" s="996">
        <f t="shared" si="1336"/>
        <v>0</v>
      </c>
      <c r="AW594" s="996">
        <f t="shared" si="1336"/>
        <v>0</v>
      </c>
      <c r="AX594" s="996">
        <f t="shared" si="1337" ref="AX594:BJ594">ROUND(INDEX(MO_LR_GLR,0,COLUMN())-AX556,6)</f>
        <v>0</v>
      </c>
      <c r="AY594" s="996">
        <f t="shared" si="1337"/>
        <v>0</v>
      </c>
      <c r="AZ594" s="996">
        <f t="shared" si="1337"/>
        <v>0</v>
      </c>
      <c r="BA594" s="996">
        <f t="shared" si="1338" ref="BA594:BI594">ROUND(INDEX(MO_LR_GLR,0,COLUMN())-BA556,6)</f>
        <v>0</v>
      </c>
      <c r="BB594" s="996">
        <f t="shared" si="1338"/>
        <v>0</v>
      </c>
      <c r="BC594" s="996">
        <f t="shared" si="1338"/>
        <v>0</v>
      </c>
      <c r="BD594" s="996">
        <f t="shared" si="1338"/>
        <v>0</v>
      </c>
      <c r="BE594" s="996">
        <f t="shared" si="1338"/>
        <v>0</v>
      </c>
      <c r="BF594" s="996">
        <f>ROUND(INDEX(MO_LR_GLR,0,COLUMN())-BF556,6)</f>
        <v>0</v>
      </c>
      <c r="BG594" s="996">
        <f>ROUND(INDEX(MO_LR_GLR,0,COLUMN())-BG556,6)</f>
        <v>0</v>
      </c>
      <c r="BH594" s="997">
        <f>ROUND(INDEX(MO_LR_GLR,0,COLUMN())-BH556,6)</f>
        <v>0</v>
      </c>
      <c r="BI594" s="998">
        <f t="shared" si="1338"/>
        <v>0</v>
      </c>
      <c r="BJ594" s="998">
        <f t="shared" si="1337"/>
        <v>0</v>
      </c>
      <c r="BK594" s="998">
        <f t="shared" si="1339" ref="BK594:BR594">ROUND(INDEX(MO_LR_GLR,0,COLUMN())-BK556,6)</f>
        <v>0</v>
      </c>
      <c r="BL594" s="998">
        <f t="shared" si="1339"/>
        <v>0</v>
      </c>
      <c r="BM594" s="998">
        <f t="shared" si="1339"/>
        <v>0</v>
      </c>
      <c r="BN594" s="998">
        <f t="shared" si="1339"/>
        <v>0</v>
      </c>
      <c r="BO594" s="998">
        <f t="shared" si="1339"/>
        <v>0</v>
      </c>
      <c r="BP594" s="996">
        <f t="shared" si="1339"/>
        <v>0</v>
      </c>
      <c r="BQ594" s="996">
        <f t="shared" si="1339"/>
        <v>0</v>
      </c>
      <c r="BR594" s="998">
        <f t="shared" si="1339"/>
        <v>0</v>
      </c>
      <c r="BS594" s="664"/>
    </row>
    <row r="595" spans="1:71" s="667" customFormat="1" ht="15">
      <c r="A595" s="664" t="s">
        <v>368</v>
      </c>
      <c r="B595" s="542"/>
      <c r="C595" s="996">
        <f t="shared" si="1340" ref="C595:AK595">ROUND(INDEX(MO_LR_RR,0,COLUMN())-C543,6)</f>
        <v>0</v>
      </c>
      <c r="D595" s="996">
        <f t="shared" si="1340"/>
        <v>0</v>
      </c>
      <c r="E595" s="996">
        <f t="shared" si="1340"/>
        <v>0</v>
      </c>
      <c r="F595" s="996">
        <f t="shared" si="1340"/>
        <v>0</v>
      </c>
      <c r="G595" s="996">
        <f t="shared" si="1340"/>
        <v>0</v>
      </c>
      <c r="H595" s="996">
        <f t="shared" si="1340"/>
        <v>0</v>
      </c>
      <c r="I595" s="996">
        <f t="shared" si="1340"/>
        <v>0</v>
      </c>
      <c r="J595" s="996">
        <f t="shared" si="1340"/>
        <v>0</v>
      </c>
      <c r="K595" s="996">
        <f t="shared" si="1340"/>
        <v>0</v>
      </c>
      <c r="L595" s="996">
        <f t="shared" si="1340"/>
        <v>0</v>
      </c>
      <c r="M595" s="996">
        <f t="shared" si="1340"/>
        <v>0</v>
      </c>
      <c r="N595" s="996">
        <f t="shared" si="1340"/>
        <v>0</v>
      </c>
      <c r="O595" s="996">
        <f t="shared" si="1340"/>
        <v>0</v>
      </c>
      <c r="P595" s="996">
        <f t="shared" si="1340"/>
        <v>0</v>
      </c>
      <c r="Q595" s="996">
        <f t="shared" si="1340"/>
        <v>0</v>
      </c>
      <c r="R595" s="996">
        <f t="shared" si="1340"/>
        <v>0</v>
      </c>
      <c r="S595" s="996">
        <f t="shared" si="1340"/>
        <v>0</v>
      </c>
      <c r="T595" s="996">
        <f t="shared" si="1340"/>
        <v>0</v>
      </c>
      <c r="U595" s="996">
        <f t="shared" si="1340"/>
        <v>0</v>
      </c>
      <c r="V595" s="996">
        <f t="shared" si="1340"/>
        <v>0</v>
      </c>
      <c r="W595" s="996">
        <f t="shared" si="1340"/>
        <v>0</v>
      </c>
      <c r="X595" s="996">
        <f t="shared" si="1340"/>
        <v>0</v>
      </c>
      <c r="Y595" s="996">
        <f t="shared" si="1340"/>
        <v>0</v>
      </c>
      <c r="Z595" s="996">
        <f t="shared" si="1340"/>
        <v>0</v>
      </c>
      <c r="AA595" s="996">
        <f t="shared" si="1340"/>
        <v>0</v>
      </c>
      <c r="AB595" s="996">
        <f t="shared" si="1340"/>
        <v>0</v>
      </c>
      <c r="AC595" s="996">
        <f t="shared" si="1340"/>
        <v>0</v>
      </c>
      <c r="AD595" s="996">
        <f t="shared" si="1340"/>
        <v>0</v>
      </c>
      <c r="AE595" s="996">
        <f t="shared" si="1340"/>
        <v>0</v>
      </c>
      <c r="AF595" s="996">
        <f t="shared" si="1340"/>
        <v>0</v>
      </c>
      <c r="AG595" s="996">
        <f t="shared" si="1340"/>
        <v>0</v>
      </c>
      <c r="AH595" s="996">
        <f t="shared" si="1340"/>
        <v>0</v>
      </c>
      <c r="AI595" s="996">
        <f t="shared" si="1340"/>
        <v>0</v>
      </c>
      <c r="AJ595" s="996">
        <f t="shared" si="1340"/>
        <v>0</v>
      </c>
      <c r="AK595" s="996">
        <f t="shared" si="1340"/>
        <v>0</v>
      </c>
      <c r="AL595" s="996">
        <f t="shared" si="1341" ref="AL595:AQ595">ROUND(INDEX(MO_LR_RR,0,COLUMN())-AL543,6)</f>
        <v>0</v>
      </c>
      <c r="AM595" s="996">
        <f t="shared" si="1341"/>
        <v>0</v>
      </c>
      <c r="AN595" s="996">
        <f t="shared" si="1341"/>
        <v>0</v>
      </c>
      <c r="AO595" s="996">
        <f t="shared" si="1341"/>
        <v>0</v>
      </c>
      <c r="AP595" s="996">
        <f t="shared" si="1341"/>
        <v>0</v>
      </c>
      <c r="AQ595" s="996">
        <f t="shared" si="1341"/>
        <v>0</v>
      </c>
      <c r="AR595" s="996">
        <f t="shared" si="1342" ref="AR595:AW595">ROUND(INDEX(MO_LR_RR,0,COLUMN())-AR543,6)</f>
        <v>0</v>
      </c>
      <c r="AS595" s="996">
        <f t="shared" si="1342"/>
        <v>0</v>
      </c>
      <c r="AT595" s="996">
        <f t="shared" si="1342"/>
        <v>0</v>
      </c>
      <c r="AU595" s="996">
        <f t="shared" si="1342"/>
        <v>0</v>
      </c>
      <c r="AV595" s="996">
        <f t="shared" si="1342"/>
        <v>0</v>
      </c>
      <c r="AW595" s="996">
        <f t="shared" si="1342"/>
        <v>0</v>
      </c>
      <c r="AX595" s="996">
        <f t="shared" si="1343" ref="AX595:BJ595">ROUND(INDEX(MO_LR_RR,0,COLUMN())-AX543,6)</f>
        <v>0</v>
      </c>
      <c r="AY595" s="996">
        <f t="shared" si="1343"/>
        <v>0</v>
      </c>
      <c r="AZ595" s="996">
        <f t="shared" si="1343"/>
        <v>0</v>
      </c>
      <c r="BA595" s="996">
        <f t="shared" si="1344" ref="BA595:BI595">ROUND(INDEX(MO_LR_RR,0,COLUMN())-BA543,6)</f>
        <v>0</v>
      </c>
      <c r="BB595" s="996">
        <f t="shared" si="1344"/>
        <v>0</v>
      </c>
      <c r="BC595" s="996">
        <f t="shared" si="1344"/>
        <v>0</v>
      </c>
      <c r="BD595" s="996">
        <f t="shared" si="1344"/>
        <v>0</v>
      </c>
      <c r="BE595" s="996">
        <f t="shared" si="1344"/>
        <v>0</v>
      </c>
      <c r="BF595" s="996">
        <f>ROUND(INDEX(MO_LR_RR,0,COLUMN())-BF543,6)</f>
        <v>0</v>
      </c>
      <c r="BG595" s="996">
        <f>ROUND(INDEX(MO_LR_RR,0,COLUMN())-BG543,6)</f>
        <v>0</v>
      </c>
      <c r="BH595" s="997">
        <f>ROUND(INDEX(MO_LR_RR,0,COLUMN())-BH543,6)</f>
        <v>0</v>
      </c>
      <c r="BI595" s="998">
        <f t="shared" si="1344"/>
        <v>0</v>
      </c>
      <c r="BJ595" s="998">
        <f t="shared" si="1343"/>
        <v>0</v>
      </c>
      <c r="BK595" s="998">
        <f t="shared" si="1345" ref="BK595:BR595">ROUND(INDEX(MO_LR_RR,0,COLUMN())-BK543,6)</f>
        <v>0</v>
      </c>
      <c r="BL595" s="998">
        <f t="shared" si="1345"/>
        <v>0</v>
      </c>
      <c r="BM595" s="998">
        <f t="shared" si="1345"/>
        <v>0</v>
      </c>
      <c r="BN595" s="998">
        <f t="shared" si="1345"/>
        <v>0</v>
      </c>
      <c r="BO595" s="998">
        <f t="shared" si="1345"/>
        <v>0</v>
      </c>
      <c r="BP595" s="996">
        <f t="shared" si="1345"/>
        <v>0</v>
      </c>
      <c r="BQ595" s="996">
        <f t="shared" si="1345"/>
        <v>0</v>
      </c>
      <c r="BR595" s="998">
        <f t="shared" si="1345"/>
        <v>0</v>
      </c>
      <c r="BS595" s="664"/>
    </row>
    <row r="596" spans="1:71" s="667" customFormat="1" ht="15">
      <c r="A596" s="664" t="s">
        <v>369</v>
      </c>
      <c r="B596" s="542"/>
      <c r="C596" s="996">
        <f t="shared" si="1346" ref="C596:AK596">ROUND(INDEX(MO_BSS_NTR,0,COLUMN())-INDEX(MO_UPR_NUPR,0,COLUMN())-INDEX(MO_LR_NLR,0,COLUMN()),6)</f>
        <v>0</v>
      </c>
      <c r="D596" s="996">
        <f t="shared" si="1346"/>
        <v>0</v>
      </c>
      <c r="E596" s="996">
        <f t="shared" si="1346"/>
        <v>0</v>
      </c>
      <c r="F596" s="996">
        <f t="shared" si="1346"/>
        <v>0</v>
      </c>
      <c r="G596" s="996">
        <f t="shared" si="1346"/>
        <v>0</v>
      </c>
      <c r="H596" s="996">
        <f t="shared" si="1346"/>
        <v>0</v>
      </c>
      <c r="I596" s="996">
        <f t="shared" si="1346"/>
        <v>0</v>
      </c>
      <c r="J596" s="996">
        <f t="shared" si="1346"/>
        <v>0</v>
      </c>
      <c r="K596" s="996">
        <f t="shared" si="1346"/>
        <v>0</v>
      </c>
      <c r="L596" s="996">
        <f t="shared" si="1346"/>
        <v>0</v>
      </c>
      <c r="M596" s="996">
        <f t="shared" si="1346"/>
        <v>0</v>
      </c>
      <c r="N596" s="996">
        <f t="shared" si="1346"/>
        <v>0</v>
      </c>
      <c r="O596" s="996">
        <f t="shared" si="1346"/>
        <v>0</v>
      </c>
      <c r="P596" s="996">
        <f t="shared" si="1346"/>
        <v>0</v>
      </c>
      <c r="Q596" s="996">
        <f t="shared" si="1346"/>
        <v>0</v>
      </c>
      <c r="R596" s="996">
        <f t="shared" si="1346"/>
        <v>0</v>
      </c>
      <c r="S596" s="996">
        <f t="shared" si="1346"/>
        <v>0</v>
      </c>
      <c r="T596" s="996">
        <f t="shared" si="1346"/>
        <v>0</v>
      </c>
      <c r="U596" s="996">
        <f t="shared" si="1346"/>
        <v>0</v>
      </c>
      <c r="V596" s="996">
        <f t="shared" si="1346"/>
        <v>0</v>
      </c>
      <c r="W596" s="996">
        <f t="shared" si="1346"/>
        <v>0</v>
      </c>
      <c r="X596" s="996">
        <f t="shared" si="1346"/>
        <v>0</v>
      </c>
      <c r="Y596" s="996">
        <f t="shared" si="1346"/>
        <v>0</v>
      </c>
      <c r="Z596" s="996">
        <f t="shared" si="1346"/>
        <v>0</v>
      </c>
      <c r="AA596" s="996">
        <f t="shared" si="1346"/>
        <v>0</v>
      </c>
      <c r="AB596" s="996">
        <f t="shared" si="1346"/>
        <v>0</v>
      </c>
      <c r="AC596" s="996">
        <f t="shared" si="1346"/>
        <v>0</v>
      </c>
      <c r="AD596" s="996">
        <f t="shared" si="1346"/>
        <v>0</v>
      </c>
      <c r="AE596" s="996">
        <f t="shared" si="1346"/>
        <v>0</v>
      </c>
      <c r="AF596" s="996">
        <f t="shared" si="1346"/>
        <v>0</v>
      </c>
      <c r="AG596" s="996">
        <f t="shared" si="1346"/>
        <v>0</v>
      </c>
      <c r="AH596" s="996">
        <f t="shared" si="1346"/>
        <v>0</v>
      </c>
      <c r="AI596" s="996">
        <f t="shared" si="1346"/>
        <v>0</v>
      </c>
      <c r="AJ596" s="996">
        <f t="shared" si="1346"/>
        <v>0</v>
      </c>
      <c r="AK596" s="996">
        <f t="shared" si="1346"/>
        <v>0</v>
      </c>
      <c r="AL596" s="996">
        <f t="shared" si="1347" ref="AL596:AQ596">ROUND(INDEX(MO_BSS_NTR,0,COLUMN())-INDEX(MO_UPR_NUPR,0,COLUMN())-INDEX(MO_LR_NLR,0,COLUMN()),6)</f>
        <v>0</v>
      </c>
      <c r="AM596" s="996">
        <f t="shared" si="1347"/>
        <v>0</v>
      </c>
      <c r="AN596" s="996">
        <f t="shared" si="1347"/>
        <v>0</v>
      </c>
      <c r="AO596" s="996">
        <f t="shared" si="1347"/>
        <v>0</v>
      </c>
      <c r="AP596" s="996">
        <f t="shared" si="1347"/>
        <v>0</v>
      </c>
      <c r="AQ596" s="996">
        <f t="shared" si="1347"/>
        <v>0</v>
      </c>
      <c r="AR596" s="996">
        <f t="shared" si="1348" ref="AR596:AW596">ROUND(INDEX(MO_BSS_NTR,0,COLUMN())-INDEX(MO_UPR_NUPR,0,COLUMN())-INDEX(MO_LR_NLR,0,COLUMN()),6)</f>
        <v>0</v>
      </c>
      <c r="AS596" s="996">
        <f t="shared" si="1348"/>
        <v>0</v>
      </c>
      <c r="AT596" s="996">
        <f t="shared" si="1348"/>
        <v>0</v>
      </c>
      <c r="AU596" s="996">
        <f t="shared" si="1348"/>
        <v>0</v>
      </c>
      <c r="AV596" s="996">
        <f t="shared" si="1348"/>
        <v>0</v>
      </c>
      <c r="AW596" s="996">
        <f t="shared" si="1348"/>
        <v>0</v>
      </c>
      <c r="AX596" s="996">
        <f t="shared" si="1349" ref="AX596:BJ596">ROUND(INDEX(MO_BSS_NTR,0,COLUMN())-INDEX(MO_UPR_NUPR,0,COLUMN())-INDEX(MO_LR_NLR,0,COLUMN()),6)</f>
        <v>0</v>
      </c>
      <c r="AY596" s="996">
        <f t="shared" si="1349"/>
        <v>0</v>
      </c>
      <c r="AZ596" s="996">
        <f t="shared" si="1349"/>
        <v>0</v>
      </c>
      <c r="BA596" s="996">
        <f t="shared" si="1350" ref="BA596:BI596">ROUND(INDEX(MO_BSS_NTR,0,COLUMN())-INDEX(MO_UPR_NUPR,0,COLUMN())-INDEX(MO_LR_NLR,0,COLUMN()),6)</f>
        <v>0</v>
      </c>
      <c r="BB596" s="996">
        <f t="shared" si="1350"/>
        <v>0</v>
      </c>
      <c r="BC596" s="996">
        <f t="shared" si="1350"/>
        <v>0</v>
      </c>
      <c r="BD596" s="996">
        <f t="shared" si="1350"/>
        <v>0</v>
      </c>
      <c r="BE596" s="996">
        <f t="shared" si="1350"/>
        <v>0</v>
      </c>
      <c r="BF596" s="996">
        <f>ROUND(INDEX(MO_BSS_NTR,0,COLUMN())-INDEX(MO_UPR_NUPR,0,COLUMN())-INDEX(MO_LR_NLR,0,COLUMN()),6)</f>
        <v>0</v>
      </c>
      <c r="BG596" s="996">
        <f>ROUND(INDEX(MO_BSS_NTR,0,COLUMN())-INDEX(MO_UPR_NUPR,0,COLUMN())-INDEX(MO_LR_NLR,0,COLUMN()),6)</f>
        <v>0</v>
      </c>
      <c r="BH596" s="997">
        <f>ROUND(INDEX(MO_BSS_NTR,0,COLUMN())-INDEX(MO_UPR_NUPR,0,COLUMN())-INDEX(MO_LR_NLR,0,COLUMN()),6)</f>
        <v>0</v>
      </c>
      <c r="BI596" s="998">
        <f t="shared" si="1350"/>
        <v>0</v>
      </c>
      <c r="BJ596" s="998">
        <f t="shared" si="1349"/>
        <v>0</v>
      </c>
      <c r="BK596" s="998">
        <f t="shared" si="1351" ref="BK596:BR596">ROUND(INDEX(MO_BSS_NTR,0,COLUMN())-INDEX(MO_UPR_NUPR,0,COLUMN())-INDEX(MO_LR_NLR,0,COLUMN()),6)</f>
        <v>0</v>
      </c>
      <c r="BL596" s="998">
        <f t="shared" si="1351"/>
        <v>0</v>
      </c>
      <c r="BM596" s="998">
        <f t="shared" si="1351"/>
        <v>0</v>
      </c>
      <c r="BN596" s="998">
        <f t="shared" si="1351"/>
        <v>0</v>
      </c>
      <c r="BO596" s="998">
        <f t="shared" si="1351"/>
        <v>0</v>
      </c>
      <c r="BP596" s="996">
        <f t="shared" si="1351"/>
        <v>0</v>
      </c>
      <c r="BQ596" s="996">
        <f t="shared" si="1351"/>
        <v>0</v>
      </c>
      <c r="BR596" s="998">
        <f t="shared" si="1351"/>
        <v>0</v>
      </c>
      <c r="BS596" s="664"/>
    </row>
    <row r="597" spans="1:71" s="667" customFormat="1" ht="15">
      <c r="A597" s="664" t="s">
        <v>370</v>
      </c>
      <c r="B597" s="542"/>
      <c r="C597" s="996">
        <f t="shared" si="1352" ref="C597:AK597">IF(C531&lt;0,"CHECK",0)</f>
        <v>0</v>
      </c>
      <c r="D597" s="996">
        <f t="shared" si="1352"/>
        <v>0</v>
      </c>
      <c r="E597" s="996">
        <f t="shared" si="1352"/>
        <v>0</v>
      </c>
      <c r="F597" s="996">
        <f t="shared" si="1352"/>
        <v>0</v>
      </c>
      <c r="G597" s="996">
        <f t="shared" si="1352"/>
        <v>0</v>
      </c>
      <c r="H597" s="996">
        <f t="shared" si="1352"/>
        <v>0</v>
      </c>
      <c r="I597" s="996">
        <f t="shared" si="1352"/>
        <v>0</v>
      </c>
      <c r="J597" s="996">
        <f t="shared" si="1352"/>
        <v>0</v>
      </c>
      <c r="K597" s="996">
        <f t="shared" si="1352"/>
        <v>0</v>
      </c>
      <c r="L597" s="996">
        <f t="shared" si="1352"/>
        <v>0</v>
      </c>
      <c r="M597" s="996">
        <f t="shared" si="1352"/>
        <v>0</v>
      </c>
      <c r="N597" s="996">
        <f t="shared" si="1352"/>
        <v>0</v>
      </c>
      <c r="O597" s="996">
        <f t="shared" si="1352"/>
        <v>0</v>
      </c>
      <c r="P597" s="996">
        <f t="shared" si="1352"/>
        <v>0</v>
      </c>
      <c r="Q597" s="996">
        <f t="shared" si="1352"/>
        <v>0</v>
      </c>
      <c r="R597" s="996">
        <f t="shared" si="1352"/>
        <v>0</v>
      </c>
      <c r="S597" s="996">
        <f t="shared" si="1352"/>
        <v>0</v>
      </c>
      <c r="T597" s="996">
        <f t="shared" si="1352"/>
        <v>0</v>
      </c>
      <c r="U597" s="996">
        <f t="shared" si="1352"/>
        <v>0</v>
      </c>
      <c r="V597" s="996">
        <f t="shared" si="1352"/>
        <v>0</v>
      </c>
      <c r="W597" s="996">
        <f t="shared" si="1352"/>
        <v>0</v>
      </c>
      <c r="X597" s="996">
        <f t="shared" si="1352"/>
        <v>0</v>
      </c>
      <c r="Y597" s="996">
        <f t="shared" si="1352"/>
        <v>0</v>
      </c>
      <c r="Z597" s="996">
        <f t="shared" si="1352"/>
        <v>0</v>
      </c>
      <c r="AA597" s="996">
        <f t="shared" si="1352"/>
        <v>0</v>
      </c>
      <c r="AB597" s="996">
        <f t="shared" si="1352"/>
        <v>0</v>
      </c>
      <c r="AC597" s="996">
        <f t="shared" si="1352"/>
        <v>0</v>
      </c>
      <c r="AD597" s="996">
        <f t="shared" si="1352"/>
        <v>0</v>
      </c>
      <c r="AE597" s="996">
        <f t="shared" si="1352"/>
        <v>0</v>
      </c>
      <c r="AF597" s="996">
        <f t="shared" si="1352"/>
        <v>0</v>
      </c>
      <c r="AG597" s="996">
        <f t="shared" si="1352"/>
        <v>0</v>
      </c>
      <c r="AH597" s="996">
        <f t="shared" si="1352"/>
        <v>0</v>
      </c>
      <c r="AI597" s="996">
        <f t="shared" si="1352"/>
        <v>0</v>
      </c>
      <c r="AJ597" s="996">
        <f t="shared" si="1352"/>
        <v>0</v>
      </c>
      <c r="AK597" s="996">
        <f t="shared" si="1352"/>
        <v>0</v>
      </c>
      <c r="AL597" s="996">
        <f t="shared" si="1353" ref="AL597:AQ597">IF(AL531&lt;0,"CHECK",0)</f>
        <v>0</v>
      </c>
      <c r="AM597" s="996">
        <f t="shared" si="1353"/>
        <v>0</v>
      </c>
      <c r="AN597" s="996">
        <f t="shared" si="1353"/>
        <v>0</v>
      </c>
      <c r="AO597" s="996">
        <f t="shared" si="1353"/>
        <v>0</v>
      </c>
      <c r="AP597" s="996">
        <f t="shared" si="1353"/>
        <v>0</v>
      </c>
      <c r="AQ597" s="996">
        <f t="shared" si="1353"/>
        <v>0</v>
      </c>
      <c r="AR597" s="996">
        <f t="shared" si="1354" ref="AR597:AW597">IF(AR531&lt;0,"CHECK",0)</f>
        <v>0</v>
      </c>
      <c r="AS597" s="996">
        <f t="shared" si="1354"/>
        <v>0</v>
      </c>
      <c r="AT597" s="996">
        <f t="shared" si="1354"/>
        <v>0</v>
      </c>
      <c r="AU597" s="996">
        <f t="shared" si="1354"/>
        <v>0</v>
      </c>
      <c r="AV597" s="996">
        <f t="shared" si="1354"/>
        <v>0</v>
      </c>
      <c r="AW597" s="996">
        <f t="shared" si="1354"/>
        <v>0</v>
      </c>
      <c r="AX597" s="996">
        <f t="shared" si="1355" ref="AX597:BJ597">IF(AX531&lt;0,"CHECK",0)</f>
        <v>0</v>
      </c>
      <c r="AY597" s="996">
        <f t="shared" si="1355"/>
        <v>0</v>
      </c>
      <c r="AZ597" s="996">
        <f t="shared" si="1355"/>
        <v>0</v>
      </c>
      <c r="BA597" s="996">
        <f t="shared" si="1356" ref="BA597:BI597">IF(BA531&lt;0,"CHECK",0)</f>
        <v>0</v>
      </c>
      <c r="BB597" s="996">
        <f t="shared" si="1356"/>
        <v>0</v>
      </c>
      <c r="BC597" s="996">
        <f t="shared" si="1356"/>
        <v>0</v>
      </c>
      <c r="BD597" s="996">
        <f t="shared" si="1356"/>
        <v>0</v>
      </c>
      <c r="BE597" s="996">
        <f t="shared" si="1356"/>
        <v>0</v>
      </c>
      <c r="BF597" s="996">
        <f>IF(BF531&lt;0,"CHECK",0)</f>
        <v>0</v>
      </c>
      <c r="BG597" s="996">
        <f>IF(BG531&lt;0,"CHECK",0)</f>
        <v>0</v>
      </c>
      <c r="BH597" s="997">
        <f>IF(BH531&lt;0,"CHECK",0)</f>
        <v>0</v>
      </c>
      <c r="BI597" s="998">
        <f t="shared" ca="1" si="1356"/>
        <v>0</v>
      </c>
      <c r="BJ597" s="998">
        <f t="shared" ca="1" si="1355"/>
        <v>0</v>
      </c>
      <c r="BK597" s="998">
        <f ca="1" t="shared" si="1357" ref="BK597:BR597">IF(BK531&lt;0,"CHECK",0)</f>
        <v>0</v>
      </c>
      <c r="BL597" s="998">
        <f t="shared" ca="1" si="1357"/>
        <v>0</v>
      </c>
      <c r="BM597" s="998">
        <f t="shared" ca="1" si="1357"/>
        <v>0</v>
      </c>
      <c r="BN597" s="998">
        <f t="shared" ca="1" si="1357"/>
        <v>0</v>
      </c>
      <c r="BO597" s="998">
        <f t="shared" ca="1" si="1357"/>
        <v>0</v>
      </c>
      <c r="BP597" s="996">
        <f t="shared" ca="1" si="1357"/>
        <v>0</v>
      </c>
      <c r="BQ597" s="996">
        <f t="shared" ca="1" si="1357"/>
        <v>0</v>
      </c>
      <c r="BR597" s="998">
        <f t="shared" ca="1" si="1357"/>
        <v>0</v>
      </c>
      <c r="BS597" s="664"/>
    </row>
    <row r="598" spans="1:71" s="667" customFormat="1" ht="15">
      <c r="A598" s="664" t="s">
        <v>371</v>
      </c>
      <c r="B598" s="542"/>
      <c r="C598" s="996">
        <f>IF(ISBLANK(INDEX(MO_IS_FirstRow,0,COLUMN())),0,IF(OR(C519=B519,C519=D519),"CHECK",0))</f>
        <v>0</v>
      </c>
      <c r="D598" s="996">
        <f>IF(ISBLANK(INDEX(MO_IS_FirstRow,0,COLUMN())),0,IF(OR(D519=C519,D519=E519),"CHECK",0))</f>
        <v>0</v>
      </c>
      <c r="E598" s="996">
        <f>IF(ISBLANK(INDEX(MO_IS_FirstRow,0,COLUMN())),0,IF(OR(E519=D519,E519=F519),"CHECK",0))</f>
        <v>0</v>
      </c>
      <c r="F598" s="996">
        <f>IF(ISBLANK(INDEX(MO_IS_FirstRow,0,COLUMN())),0,IF(OR(F519=E519,F519=G519),"CHECK",0))</f>
        <v>0</v>
      </c>
      <c r="G598" s="996">
        <f>IF(ISBLANK(INDEX(MO_IS_FirstRow,0,COLUMN())),0,IF(OR(G519=F519,G519=H519),"CHECK",0))</f>
        <v>0</v>
      </c>
      <c r="H598" s="996">
        <f>IF(ISBLANK(INDEX(MO_IS_FirstRow,0,COLUMN())),0,IF(OR(H519=C519,H519=I519,H519=F519),"CHECK",0))</f>
        <v>0</v>
      </c>
      <c r="I598" s="996">
        <f>IF(ISBLANK(INDEX(MO_IS_FirstRow,0,COLUMN())),0,IF(OR(I519=D519,I519=J519,I519=H519),"CHECK",0))</f>
        <v>0</v>
      </c>
      <c r="J598" s="996">
        <f>IF(ISBLANK(INDEX(MO_IS_FirstRow,0,COLUMN())),0,IF(OR(J519=E519,J519=K519,J519=I519),"CHECK",0))</f>
        <v>0</v>
      </c>
      <c r="K598" s="996">
        <f>IF(ISBLANK(INDEX(MO_IS_FirstRow,0,COLUMN())),0,IF(OR(K519=F519,K519=L519,K519=J519),"CHECK",0))</f>
        <v>0</v>
      </c>
      <c r="L598" s="996">
        <f>IF(ISBLANK(INDEX(MO_IS_FirstRow,0,COLUMN())),0,IF(L519=G519,"CHECK",0))</f>
        <v>0</v>
      </c>
      <c r="M598" s="996">
        <f>IF(ISBLANK(INDEX(MO_IS_FirstRow,0,COLUMN())),0,IF(OR(M519=H519,M519=N519,M519=K519),"CHECK",0))</f>
        <v>0</v>
      </c>
      <c r="N598" s="996">
        <f>IF(ISBLANK(INDEX(MO_IS_FirstRow,0,COLUMN())),0,IF(OR(N519=I519,N519=O519,N519=M519),"CHECK",0))</f>
        <v>0</v>
      </c>
      <c r="O598" s="996">
        <f>IF(ISBLANK(INDEX(MO_IS_FirstRow,0,COLUMN())),0,IF(OR(O519=J519,O519=P519,O519=N519),"CHECK",0))</f>
        <v>0</v>
      </c>
      <c r="P598" s="996">
        <f>IF(ISBLANK(INDEX(MO_IS_FirstRow,0,COLUMN())),0,IF(OR(P519=K519,P519=Q519,P519=O519),"CHECK",0))</f>
        <v>0</v>
      </c>
      <c r="Q598" s="996">
        <f>IF(ISBLANK(INDEX(MO_IS_FirstRow,0,COLUMN())),0,IF(Q519=L519,"CHECK",0))</f>
        <v>0</v>
      </c>
      <c r="R598" s="996">
        <f>IF(ISBLANK(INDEX(MO_IS_FirstRow,0,COLUMN())),0,IF(OR(R519=M519,R519=S519,R519=P519),"CHECK",0))</f>
        <v>0</v>
      </c>
      <c r="S598" s="996">
        <f>IF(ISBLANK(INDEX(MO_IS_FirstRow,0,COLUMN())),0,IF(OR(S519=N519,S519=T519,S519=R519),"CHECK",0))</f>
        <v>0</v>
      </c>
      <c r="T598" s="996">
        <f>IF(ISBLANK(INDEX(MO_IS_FirstRow,0,COLUMN())),0,IF(OR(T519=O519,T519=U519,T519=S519),"CHECK",0))</f>
        <v>0</v>
      </c>
      <c r="U598" s="996">
        <f>IF(ISBLANK(INDEX(MO_IS_FirstRow,0,COLUMN())),0,IF(OR(U519=P519,U519=V519,U519=T519),"CHECK",0))</f>
        <v>0</v>
      </c>
      <c r="V598" s="996">
        <f>IF(ISBLANK(INDEX(MO_IS_FirstRow,0,COLUMN())),0,IF(V519=Q519,"CHECK",0))</f>
        <v>0</v>
      </c>
      <c r="W598" s="996">
        <f>IF(ISBLANK(INDEX(MO_IS_FirstRow,0,COLUMN())),0,IF(OR(W519=R519,W519=X519,W519=U519),"CHECK",0))</f>
        <v>0</v>
      </c>
      <c r="X598" s="996" t="str">
        <f>IF(ISBLANK(INDEX(MO_IS_FirstRow,0,COLUMN())),0,IF(OR(X519=S519,X519=Y519,X519=W519),"CHECK",0))</f>
        <v>CHECK</v>
      </c>
      <c r="Y598" s="996">
        <f>IF(ISBLANK(INDEX(MO_IS_FirstRow,0,COLUMN())),0,IF(OR(Y519=T519,Y519=Z519,Y519=X519),"CHECK",0))</f>
        <v>0</v>
      </c>
      <c r="Z598" s="996">
        <f>IF(ISBLANK(INDEX(MO_IS_FirstRow,0,COLUMN())),0,IF(OR(Z519=U519,Z519=AA519,Z519=Y519),"CHECK",0))</f>
        <v>0</v>
      </c>
      <c r="AA598" s="996">
        <f>IF(ISBLANK(INDEX(MO_IS_FirstRow,0,COLUMN())),0,IF(AA519=V519,"CHECK",0))</f>
        <v>0</v>
      </c>
      <c r="AB598" s="996">
        <f>IF(ISBLANK(INDEX(MO_IS_FirstRow,0,COLUMN())),0,IF(OR(AB519=W519,AB519=AC519,AB519=Z519),"CHECK",0))</f>
        <v>0</v>
      </c>
      <c r="AC598" s="996">
        <f>IF(ISBLANK(INDEX(MO_IS_FirstRow,0,COLUMN())),0,IF(OR(AC519=X519,AC519=AD519,AC519=AB519),"CHECK",0))</f>
        <v>0</v>
      </c>
      <c r="AD598" s="996">
        <f>IF(ISBLANK(INDEX(MO_IS_FirstRow,0,COLUMN())),0,IF(OR(AD519=Y519,AD519=AE519,AD519=AC519),"CHECK",0))</f>
        <v>0</v>
      </c>
      <c r="AE598" s="996">
        <f>IF(ISBLANK(INDEX(MO_IS_FirstRow,0,COLUMN())),0,IF(OR(AE519=Z519,AE519=AF519,AE519=AD519),"CHECK",0))</f>
        <v>0</v>
      </c>
      <c r="AF598" s="996">
        <f>IF(ISBLANK(INDEX(MO_IS_FirstRow,0,COLUMN())),0,IF(AF519=AA519,"CHECK",0))</f>
        <v>0</v>
      </c>
      <c r="AG598" s="996">
        <f>IF(ISBLANK(INDEX(MO_IS_FirstRow,0,COLUMN())),0,IF(OR(AG519=AB519,AG519=AH519,AG519=AE519),"CHECK",0))</f>
        <v>0</v>
      </c>
      <c r="AH598" s="996">
        <f>IF(ISBLANK(INDEX(MO_IS_FirstRow,0,COLUMN())),0,IF(OR(AH519=AC519,AH519=AI519,AH519=AG519),"CHECK",0))</f>
        <v>0</v>
      </c>
      <c r="AI598" s="996">
        <f>IF(ISBLANK(INDEX(MO_IS_FirstRow,0,COLUMN())),0,IF(OR(AI519=AD519,AI519=AJ519,AI519=AH519),"CHECK",0))</f>
        <v>0</v>
      </c>
      <c r="AJ598" s="996">
        <f>IF(ISBLANK(INDEX(MO_IS_FirstRow,0,COLUMN())),0,IF(OR(AJ519=AE519,AJ519=AK519,AJ519=AI519),"CHECK",0))</f>
        <v>0</v>
      </c>
      <c r="AK598" s="996">
        <f>IF(ISBLANK(INDEX(MO_IS_FirstRow,0,COLUMN())),0,IF(AK519=AF519,"CHECK",0))</f>
        <v>0</v>
      </c>
      <c r="AL598" s="996">
        <f>IF(ISBLANK(INDEX(MO_IS_FirstRow,0,COLUMN())),0,IF(OR(AL519=AG519,AL519=AM519,AL519=AJ519),"CHECK",0))</f>
        <v>0</v>
      </c>
      <c r="AM598" s="996">
        <f>IF(ISBLANK(INDEX(MO_IS_FirstRow,0,COLUMN())),0,IF(OR(AM519=AH519,AM519=AN519,AM519=AL519),"CHECK",0))</f>
        <v>0</v>
      </c>
      <c r="AN598" s="996">
        <f>IF(ISBLANK(INDEX(MO_IS_FirstRow,0,COLUMN())),0,IF(OR(AN519=AI519,AN519=AO519,AN519=AM519),"CHECK",0))</f>
        <v>0</v>
      </c>
      <c r="AO598" s="996">
        <f>IF(ISBLANK(INDEX(MO_IS_FirstRow,0,COLUMN())),0,IF(OR(AO519=AJ519,AO519=AP519,AO519=AN519),"CHECK",0))</f>
        <v>0</v>
      </c>
      <c r="AP598" s="996">
        <f>IF(ISBLANK(INDEX(MO_IS_FirstRow,0,COLUMN())),0,IF(AP519=AK519,"CHECK",0))</f>
        <v>0</v>
      </c>
      <c r="AQ598" s="996">
        <f>IF(ISBLANK(INDEX(MO_IS_FirstRow,0,COLUMN())),0,IF(OR(AQ519=AL519,AQ519=AR519,AQ519=AO519),"CHECK",0))</f>
        <v>0</v>
      </c>
      <c r="AR598" s="996">
        <f>IF(ISBLANK(INDEX(MO_IS_FirstRow,0,COLUMN())),0,IF(OR(AR519=AM519,AR519=AS519,AR519=AQ519),"CHECK",0))</f>
        <v>0</v>
      </c>
      <c r="AS598" s="996">
        <f>IF(ISBLANK(INDEX(MO_IS_FirstRow,0,COLUMN())),0,IF(OR(AS519=AN519,AS519=AT519,AS519=AR519),"CHECK",0))</f>
        <v>0</v>
      </c>
      <c r="AT598" s="996">
        <f>IF(ISBLANK(INDEX(MO_IS_FirstRow,0,COLUMN())),0,IF(OR(AT519=AO519,AT519=AU519,AT519=AS519),"CHECK",0))</f>
        <v>0</v>
      </c>
      <c r="AU598" s="996">
        <f>IF(ISBLANK(INDEX(MO_IS_FirstRow,0,COLUMN())),0,IF(AU519=AP519,"CHECK",0))</f>
        <v>0</v>
      </c>
      <c r="AV598" s="996">
        <f>IF(ISBLANK(INDEX(MO_IS_FirstRow,0,COLUMN())),0,IF(OR(AV519=AQ519,AV519=AW519,AV519=AT519),"CHECK",0))</f>
        <v>0</v>
      </c>
      <c r="AW598" s="996">
        <f>IF(ISBLANK(INDEX(MO_IS_FirstRow,0,COLUMN())),0,IF(OR(AW519=AR519,AW519=AX519,AW519=AV519),"CHECK",0))</f>
        <v>0</v>
      </c>
      <c r="AX598" s="996">
        <f>IF(ISBLANK(INDEX(MO_IS_FirstRow,0,COLUMN())),0,IF(OR(AX519=AS519,AX519=AY519,AX519=AW519),"CHECK",0))</f>
        <v>0</v>
      </c>
      <c r="AY598" s="996">
        <f>IF(ISBLANK(INDEX(MO_IS_FirstRow,0,COLUMN())),0,IF(OR(AY519=AT519,AY519=AZ519,AY519=AX519),"CHECK",0))</f>
        <v>0</v>
      </c>
      <c r="AZ598" s="996">
        <f>IF(ISBLANK(INDEX(MO_IS_FirstRow,0,COLUMN())),0,IF(AZ519=AU519,"CHECK",0))</f>
        <v>0</v>
      </c>
      <c r="BA598" s="996">
        <f>IF(ISBLANK(INDEX(MO_IS_FirstRow,0,COLUMN())),0,IF(OR(BA519=AV519,BA519=BB519,BA519=AY519),"CHECK",0))</f>
        <v>0</v>
      </c>
      <c r="BB598" s="996">
        <f>IF(ISBLANK(INDEX(MO_IS_FirstRow,0,COLUMN())),0,IF(OR(BB519=AW519,BB519=BC519,BB519=BA519),"CHECK",0))</f>
        <v>0</v>
      </c>
      <c r="BC598" s="996">
        <f>IF(ISBLANK(INDEX(MO_IS_FirstRow,0,COLUMN())),0,IF(OR(BC519=AX519,BC519=BD519,BC519=BB519),"CHECK",0))</f>
        <v>0</v>
      </c>
      <c r="BD598" s="996">
        <f>IF(ISBLANK(INDEX(MO_IS_FirstRow,0,COLUMN())),0,IF(OR(BD519=AY519,BD519=BE519,BD519=BC519),"CHECK",0))</f>
        <v>0</v>
      </c>
      <c r="BE598" s="996">
        <f>IF(ISBLANK(INDEX(MO_IS_FirstRow,0,COLUMN())),0,IF(BE519=AZ519,"CHECK",0))</f>
        <v>0</v>
      </c>
      <c r="BF598" s="996">
        <f>IF(ISBLANK(INDEX(MO_IS_FirstRow,0,COLUMN())),0,IF(OR(BF519=BA519,BF519=BG519,BF519=BD519),"CHECK",0))</f>
        <v>0</v>
      </c>
      <c r="BG598" s="996">
        <f>IF(ISBLANK(INDEX(MO_IS_FirstRow,0,COLUMN())),0,IF(OR(BG519=BB519,BG519=BH519,BG519=BF519),"CHECK",0))</f>
        <v>0</v>
      </c>
      <c r="BH598" s="997">
        <f ca="1">IF(ISBLANK(INDEX(MO_IS_FirstRow,0,COLUMN())),0,IF(OR(BH519=BC519,BH519=BI519,BH519=BG519),"CHECK",0))</f>
        <v>0</v>
      </c>
      <c r="BI598" s="998"/>
      <c r="BJ598" s="998"/>
      <c r="BK598" s="998"/>
      <c r="BL598" s="998"/>
      <c r="BM598" s="998"/>
      <c r="BN598" s="998"/>
      <c r="BO598" s="998"/>
      <c r="BP598" s="996"/>
      <c r="BQ598" s="996"/>
      <c r="BR598" s="998"/>
      <c r="BS598" s="664"/>
    </row>
    <row r="599" spans="1:71" s="667" customFormat="1" ht="15">
      <c r="A599" s="664" t="s">
        <v>372</v>
      </c>
      <c r="B599" s="542"/>
      <c r="C599" s="996">
        <f>IF(ISBLANK(INDEX(MO_IS_FirstRow,0,COLUMN())),0,IF(OR(C280=B280,C280=D280),"CHECK",0))</f>
        <v>0</v>
      </c>
      <c r="D599" s="996">
        <f>IF(ISBLANK(INDEX(MO_IS_FirstRow,0,COLUMN())),0,IF(OR(D280=C280,D280=E280),"CHECK",0))</f>
        <v>0</v>
      </c>
      <c r="E599" s="996">
        <f>IF(ISBLANK(INDEX(MO_IS_FirstRow,0,COLUMN())),0,IF(OR(E280=D280,E280=F280),"CHECK",0))</f>
        <v>0</v>
      </c>
      <c r="F599" s="996">
        <f>IF(ISBLANK(INDEX(MO_IS_FirstRow,0,COLUMN())),0,IF(OR(F280=E280,F280=G280),"CHECK",0))</f>
        <v>0</v>
      </c>
      <c r="G599" s="996">
        <f>IF(ISBLANK(INDEX(MO_IS_FirstRow,0,COLUMN())),0,IF(OR(G280=F280,G280=H280),"CHECK",0))</f>
        <v>0</v>
      </c>
      <c r="H599" s="996">
        <f>IF(ISBLANK(INDEX(MO_IS_FirstRow,0,COLUMN())),0,IF(OR(H280=C280,H280=I280,H280=F280),"CHECK",0))</f>
        <v>0</v>
      </c>
      <c r="I599" s="996">
        <f>IF(ISBLANK(INDEX(MO_IS_FirstRow,0,COLUMN())),0,IF(OR(I280=D280,I280=J280,I280=H280),"CHECK",0))</f>
        <v>0</v>
      </c>
      <c r="J599" s="996">
        <f>IF(ISBLANK(INDEX(MO_IS_FirstRow,0,COLUMN())),0,IF(OR(J280=E280,J280=K280,J280=I280),"CHECK",0))</f>
        <v>0</v>
      </c>
      <c r="K599" s="996">
        <f>IF(ISBLANK(INDEX(MO_IS_FirstRow,0,COLUMN())),0,IF(OR(K280=F280,K280=L280,K280=J280),"CHECK",0))</f>
        <v>0</v>
      </c>
      <c r="L599" s="996">
        <f>IF(ISBLANK(INDEX(MO_IS_FirstRow,0,COLUMN())),0,IF(L280=G280,"CHECK",0))</f>
        <v>0</v>
      </c>
      <c r="M599" s="996">
        <f>IF(ISBLANK(INDEX(MO_IS_FirstRow,0,COLUMN())),0,IF(OR(M280=H280,M280=N280,M280=K280),"CHECK",0))</f>
        <v>0</v>
      </c>
      <c r="N599" s="996">
        <f>IF(ISBLANK(INDEX(MO_IS_FirstRow,0,COLUMN())),0,IF(OR(N280=I280,N280=O280,N280=M280),"CHECK",0))</f>
        <v>0</v>
      </c>
      <c r="O599" s="996">
        <f>IF(ISBLANK(INDEX(MO_IS_FirstRow,0,COLUMN())),0,IF(OR(O280=J280,O280=P280,O280=N280),"CHECK",0))</f>
        <v>0</v>
      </c>
      <c r="P599" s="996">
        <f>IF(ISBLANK(INDEX(MO_IS_FirstRow,0,COLUMN())),0,IF(OR(P280=K280,P280=Q280,P280=O280),"CHECK",0))</f>
        <v>0</v>
      </c>
      <c r="Q599" s="996">
        <f>IF(ISBLANK(INDEX(MO_IS_FirstRow,0,COLUMN())),0,IF(Q280=L280,"CHECK",0))</f>
        <v>0</v>
      </c>
      <c r="R599" s="996">
        <f>IF(ISBLANK(INDEX(MO_IS_FirstRow,0,COLUMN())),0,IF(OR(R280=M280,R280=S280,R280=P280),"CHECK",0))</f>
        <v>0</v>
      </c>
      <c r="S599" s="996">
        <f>IF(ISBLANK(INDEX(MO_IS_FirstRow,0,COLUMN())),0,IF(OR(S280=N280,S280=T280,S280=R280),"CHECK",0))</f>
        <v>0</v>
      </c>
      <c r="T599" s="996">
        <f>IF(ISBLANK(INDEX(MO_IS_FirstRow,0,COLUMN())),0,IF(OR(T280=O280,T280=U280,T280=S280),"CHECK",0))</f>
        <v>0</v>
      </c>
      <c r="U599" s="996">
        <f>IF(ISBLANK(INDEX(MO_IS_FirstRow,0,COLUMN())),0,IF(OR(U280=P280,U280=V280,U280=T280),"CHECK",0))</f>
        <v>0</v>
      </c>
      <c r="V599" s="996">
        <f>IF(ISBLANK(INDEX(MO_IS_FirstRow,0,COLUMN())),0,IF(V280=Q280,"CHECK",0))</f>
        <v>0</v>
      </c>
      <c r="W599" s="996">
        <f>IF(ISBLANK(INDEX(MO_IS_FirstRow,0,COLUMN())),0,IF(OR(W280=R280,W280=X280,W280=U280),"CHECK",0))</f>
        <v>0</v>
      </c>
      <c r="X599" s="996">
        <f>IF(ISBLANK(INDEX(MO_IS_FirstRow,0,COLUMN())),0,IF(OR(X280=S280,X280=Y280,X280=W280),"CHECK",0))</f>
        <v>0</v>
      </c>
      <c r="Y599" s="996">
        <f>IF(ISBLANK(INDEX(MO_IS_FirstRow,0,COLUMN())),0,IF(OR(Y280=T280,Y280=Z280,Y280=X280),"CHECK",0))</f>
        <v>0</v>
      </c>
      <c r="Z599" s="996">
        <f>IF(ISBLANK(INDEX(MO_IS_FirstRow,0,COLUMN())),0,IF(OR(Z280=U280,Z280=AA280,Z280=Y280),"CHECK",0))</f>
        <v>0</v>
      </c>
      <c r="AA599" s="996">
        <f>IF(ISBLANK(INDEX(MO_IS_FirstRow,0,COLUMN())),0,IF(AA280=V280,"CHECK",0))</f>
        <v>0</v>
      </c>
      <c r="AB599" s="996">
        <f>IF(ISBLANK(INDEX(MO_IS_FirstRow,0,COLUMN())),0,IF(OR(AB280=W280,AB280=AC280,AB280=Z280),"CHECK",0))</f>
        <v>0</v>
      </c>
      <c r="AC599" s="996">
        <f>IF(ISBLANK(INDEX(MO_IS_FirstRow,0,COLUMN())),0,IF(OR(AC280=X280,AC280=AD280,AC280=AB280),"CHECK",0))</f>
        <v>0</v>
      </c>
      <c r="AD599" s="996">
        <f>IF(ISBLANK(INDEX(MO_IS_FirstRow,0,COLUMN())),0,IF(OR(AD280=Y280,AD280=AE280,AD280=AC280),"CHECK",0))</f>
        <v>0</v>
      </c>
      <c r="AE599" s="996">
        <f>IF(ISBLANK(INDEX(MO_IS_FirstRow,0,COLUMN())),0,IF(OR(AE280=Z280,AE280=AF280,AE280=AD280),"CHECK",0))</f>
        <v>0</v>
      </c>
      <c r="AF599" s="996">
        <f>IF(ISBLANK(INDEX(MO_IS_FirstRow,0,COLUMN())),0,IF(AF280=AA280,"CHECK",0))</f>
        <v>0</v>
      </c>
      <c r="AG599" s="996">
        <f>IF(ISBLANK(INDEX(MO_IS_FirstRow,0,COLUMN())),0,IF(OR(AG280=AB280,AG280=AH280,AG280=AE280),"CHECK",0))</f>
        <v>0</v>
      </c>
      <c r="AH599" s="996">
        <f>IF(ISBLANK(INDEX(MO_IS_FirstRow,0,COLUMN())),0,IF(OR(AH280=AC280,AH280=AI280,AH280=AG280),"CHECK",0))</f>
        <v>0</v>
      </c>
      <c r="AI599" s="996">
        <f>IF(ISBLANK(INDEX(MO_IS_FirstRow,0,COLUMN())),0,IF(OR(AI280=AD280,AI280=AJ280,AI280=AH280),"CHECK",0))</f>
        <v>0</v>
      </c>
      <c r="AJ599" s="996">
        <f>IF(ISBLANK(INDEX(MO_IS_FirstRow,0,COLUMN())),0,IF(OR(AJ280=AE280,AJ280=AK280,AJ280=AI280),"CHECK",0))</f>
        <v>0</v>
      </c>
      <c r="AK599" s="996">
        <f>IF(ISBLANK(INDEX(MO_IS_FirstRow,0,COLUMN())),0,IF(AK280=AF280,"CHECK",0))</f>
        <v>0</v>
      </c>
      <c r="AL599" s="996">
        <f>IF(ISBLANK(INDEX(MO_IS_FirstRow,0,COLUMN())),0,IF(OR(AL280=AG280,AL280=AM280,AL280=AJ280),"CHECK",0))</f>
        <v>0</v>
      </c>
      <c r="AM599" s="996">
        <f>IF(ISBLANK(INDEX(MO_IS_FirstRow,0,COLUMN())),0,IF(OR(AM280=AH280,AM280=AN280,AM280=AL280),"CHECK",0))</f>
        <v>0</v>
      </c>
      <c r="AN599" s="996">
        <f>IF(ISBLANK(INDEX(MO_IS_FirstRow,0,COLUMN())),0,IF(OR(AN280=AI280,AN280=AO280,AN280=AM280),"CHECK",0))</f>
        <v>0</v>
      </c>
      <c r="AO599" s="996">
        <f>IF(ISBLANK(INDEX(MO_IS_FirstRow,0,COLUMN())),0,IF(OR(AO280=AJ280,AO280=AP280,AO280=AN280),"CHECK",0))</f>
        <v>0</v>
      </c>
      <c r="AP599" s="996">
        <f>IF(ISBLANK(INDEX(MO_IS_FirstRow,0,COLUMN())),0,IF(AP280=AK280,"CHECK",0))</f>
        <v>0</v>
      </c>
      <c r="AQ599" s="996" t="str">
        <f>IF(ISBLANK(INDEX(MO_IS_FirstRow,0,COLUMN())),0,IF(OR(AQ280=AL280,AQ280=AR280,AQ280=AO280),"CHECK",0))</f>
        <v>CHECK</v>
      </c>
      <c r="AR599" s="996">
        <f>IF(ISBLANK(INDEX(MO_IS_FirstRow,0,COLUMN())),0,IF(OR(AR280=AM280,AR280=AS280,AR280=AQ280),"CHECK",0))</f>
        <v>0</v>
      </c>
      <c r="AS599" s="996">
        <f>IF(ISBLANK(INDEX(MO_IS_FirstRow,0,COLUMN())),0,IF(OR(AS280=AN280,AS280=AT280,AS280=AR280),"CHECK",0))</f>
        <v>0</v>
      </c>
      <c r="AT599" s="996">
        <f>IF(ISBLANK(INDEX(MO_IS_FirstRow,0,COLUMN())),0,IF(OR(AT280=AO280,AT280=AU280,AT280=AS280),"CHECK",0))</f>
        <v>0</v>
      </c>
      <c r="AU599" s="996">
        <f>IF(ISBLANK(INDEX(MO_IS_FirstRow,0,COLUMN())),0,IF(AU280=AP280,"CHECK",0))</f>
        <v>0</v>
      </c>
      <c r="AV599" s="996">
        <f>IF(ISBLANK(INDEX(MO_IS_FirstRow,0,COLUMN())),0,IF(OR(AV280=AQ280,AV280=AW280,AV280=AT280),"CHECK",0))</f>
        <v>0</v>
      </c>
      <c r="AW599" s="996">
        <f>IF(ISBLANK(INDEX(MO_IS_FirstRow,0,COLUMN())),0,IF(OR(AW280=AR280,AW280=AX280,AW280=AV280),"CHECK",0))</f>
        <v>0</v>
      </c>
      <c r="AX599" s="996">
        <f>IF(ISBLANK(INDEX(MO_IS_FirstRow,0,COLUMN())),0,IF(OR(AX280=AS280,AX280=AY280,AX280=AW280),"CHECK",0))</f>
        <v>0</v>
      </c>
      <c r="AY599" s="996">
        <f>IF(ISBLANK(INDEX(MO_IS_FirstRow,0,COLUMN())),0,IF(OR(AY280=AT280,AY280=AZ280,AY280=AX280),"CHECK",0))</f>
        <v>0</v>
      </c>
      <c r="AZ599" s="996">
        <f>IF(ISBLANK(INDEX(MO_IS_FirstRow,0,COLUMN())),0,IF(AZ280=AU280,"CHECK",0))</f>
        <v>0</v>
      </c>
      <c r="BA599" s="996">
        <f>IF(ISBLANK(INDEX(MO_IS_FirstRow,0,COLUMN())),0,IF(OR(BA280=AV280,BA280=BB280,BA280=AY280),"CHECK",0))</f>
        <v>0</v>
      </c>
      <c r="BB599" s="996">
        <f>IF(ISBLANK(INDEX(MO_IS_FirstRow,0,COLUMN())),0,IF(OR(BB280=AW280,BB280=BC280,BB280=BA280),"CHECK",0))</f>
        <v>0</v>
      </c>
      <c r="BC599" s="996">
        <f>IF(ISBLANK(INDEX(MO_IS_FirstRow,0,COLUMN())),0,IF(OR(BC280=AX280,BC280=BD280,BC280=BB280),"CHECK",0))</f>
        <v>0</v>
      </c>
      <c r="BD599" s="996">
        <f>IF(ISBLANK(INDEX(MO_IS_FirstRow,0,COLUMN())),0,IF(OR(BD280=AY280,BD280=BE280,BD280=BC280),"CHECK",0))</f>
        <v>0</v>
      </c>
      <c r="BE599" s="996">
        <f>IF(ISBLANK(INDEX(MO_IS_FirstRow,0,COLUMN())),0,IF(BE280=AZ280,"CHECK",0))</f>
        <v>0</v>
      </c>
      <c r="BF599" s="996">
        <f>IF(ISBLANK(INDEX(MO_IS_FirstRow,0,COLUMN())),0,IF(OR(BF280=BA280,BF280=BG280,BF280=BD280),"CHECK",0))</f>
        <v>0</v>
      </c>
      <c r="BG599" s="996">
        <f>IF(ISBLANK(INDEX(MO_IS_FirstRow,0,COLUMN())),0,IF(OR(BG280=BB280,BG280=BH280,BG280=BF280),"CHECK",0))</f>
        <v>0</v>
      </c>
      <c r="BH599" s="997">
        <f>IF(ISBLANK(INDEX(MO_IS_FirstRow,0,COLUMN())),0,IF(OR(BH280=BC280,BH280=BI280,BH280=BG280),"CHECK",0))</f>
        <v>0</v>
      </c>
      <c r="BI599" s="998"/>
      <c r="BJ599" s="998"/>
      <c r="BK599" s="998"/>
      <c r="BL599" s="998"/>
      <c r="BM599" s="998"/>
      <c r="BN599" s="998"/>
      <c r="BO599" s="998"/>
      <c r="BP599" s="996"/>
      <c r="BQ599" s="996"/>
      <c r="BR599" s="998"/>
      <c r="BS599" s="664"/>
    </row>
    <row r="600" spans="1:71" s="667" customFormat="1" ht="15">
      <c r="A600" s="664" t="s">
        <v>373</v>
      </c>
      <c r="B600" s="542"/>
      <c r="C600" s="996">
        <f>IF(OR(C553=B553,C553=D553),"CHECK",0)</f>
        <v>0</v>
      </c>
      <c r="D600" s="996">
        <f>IF(OR(D553=C553,D553=E553),"CHECK",0)</f>
        <v>0</v>
      </c>
      <c r="E600" s="996">
        <f>IF(OR(E553=D553,E553=F553),"CHECK",0)</f>
        <v>0</v>
      </c>
      <c r="F600" s="996">
        <f>IF(OR(F553=E553,F553=G553),"CHECK",0)</f>
        <v>0</v>
      </c>
      <c r="G600" s="996">
        <f>IF(OR(G553=F553,G553=H553),"CHECK",0)</f>
        <v>0</v>
      </c>
      <c r="H600" s="996">
        <f>IF(OR(H553=C553,H553=I553,H553=F553),"CHECK",0)</f>
        <v>0</v>
      </c>
      <c r="I600" s="996">
        <f>IF(OR(I553=D553,I553=J553,I553=H553),"CHECK",0)</f>
        <v>0</v>
      </c>
      <c r="J600" s="996">
        <f>IF(OR(J553=E553,J553=K553,J553=I553),"CHECK",0)</f>
        <v>0</v>
      </c>
      <c r="K600" s="996">
        <f>IF(OR(K553=F553,K553=J553),"CHECK",0)</f>
        <v>0</v>
      </c>
      <c r="L600" s="996">
        <f>IF(L553=G553,"CHECK",0)</f>
        <v>0</v>
      </c>
      <c r="M600" s="996">
        <f>IF(OR(M553=H553,M553=N553,M553=K553),"CHECK",0)</f>
        <v>0</v>
      </c>
      <c r="N600" s="996">
        <f>IF(OR(N553=I553,N553=O553,N553=M553),"CHECK",0)</f>
        <v>0</v>
      </c>
      <c r="O600" s="996">
        <f>IF(OR(O553=J553,O553=P553,O553=N553),"CHECK",0)</f>
        <v>0</v>
      </c>
      <c r="P600" s="996">
        <f>IF(OR(P553=K553,P553=O553),"CHECK",0)</f>
        <v>0</v>
      </c>
      <c r="Q600" s="996">
        <f>IF(Q553=L553,"CHECK",0)</f>
        <v>0</v>
      </c>
      <c r="R600" s="996">
        <f>IF(OR(R553=M553,R553=S553,R553=P553),"CHECK",0)</f>
        <v>0</v>
      </c>
      <c r="S600" s="996">
        <f>IF(OR(S553=N553,S553=T553,S553=R553),"CHECK",0)</f>
        <v>0</v>
      </c>
      <c r="T600" s="996">
        <f>IF(OR(T553=O553,T553=U553,T553=S553),"CHECK",0)</f>
        <v>0</v>
      </c>
      <c r="U600" s="996">
        <f>IF(OR(U553=P553,U553=T553),"CHECK",0)</f>
        <v>0</v>
      </c>
      <c r="V600" s="996">
        <f>IF(V553=Q553,"CHECK",0)</f>
        <v>0</v>
      </c>
      <c r="W600" s="996">
        <f>IF(OR(W553=R553,W553=X553,W553=U553),"CHECK",0)</f>
        <v>0</v>
      </c>
      <c r="X600" s="996">
        <f>IF(OR(X553=S553,X553=Y553,X553=W553),"CHECK",0)</f>
        <v>0</v>
      </c>
      <c r="Y600" s="996">
        <f>IF(OR(Y553=T553,Y553=Z553,Y553=X553),"CHECK",0)</f>
        <v>0</v>
      </c>
      <c r="Z600" s="996">
        <f>IF(OR(Z553=U553,Z553=Y553),"CHECK",0)</f>
        <v>0</v>
      </c>
      <c r="AA600" s="996">
        <f>IF(AA553=V553,"CHECK",0)</f>
        <v>0</v>
      </c>
      <c r="AB600" s="996">
        <f>IF(OR(AB553=W553,AB553=AC553,AB553=Z553),"CHECK",0)</f>
        <v>0</v>
      </c>
      <c r="AC600" s="996">
        <f>IF(OR(AC553=X553,AC553=AD553,AC553=AB553),"CHECK",0)</f>
        <v>0</v>
      </c>
      <c r="AD600" s="996">
        <f>IF(OR(AD553=Y553,AD553=AE553,AD553=AC553),"CHECK",0)</f>
        <v>0</v>
      </c>
      <c r="AE600" s="996">
        <f>IF(OR(AE553=Z553,AE553=AD553),"CHECK",0)</f>
        <v>0</v>
      </c>
      <c r="AF600" s="996">
        <f>IF(AF553=AA553,"CHECK",0)</f>
        <v>0</v>
      </c>
      <c r="AG600" s="996">
        <f>IF(OR(AG553=AB553,AG553=AH553,AG553=AE553),"CHECK",0)</f>
        <v>0</v>
      </c>
      <c r="AH600" s="996">
        <f>IF(OR(AH553=AC553,AH553=AI553,AH553=AG553),"CHECK",0)</f>
        <v>0</v>
      </c>
      <c r="AI600" s="996">
        <f>IF(OR(AI553=AD553,AI553=AJ553,AI553=AH553),"CHECK",0)</f>
        <v>0</v>
      </c>
      <c r="AJ600" s="996">
        <f>IF(OR(AJ553=AE553,AJ553=AI553),"CHECK",0)</f>
        <v>0</v>
      </c>
      <c r="AK600" s="996">
        <f>IF(AK553=AF553,"CHECK",0)</f>
        <v>0</v>
      </c>
      <c r="AL600" s="996">
        <f>IF(OR(AL553=AG553,AL553=AM553,AL553=AJ553),"CHECK",0)</f>
        <v>0</v>
      </c>
      <c r="AM600" s="996">
        <f>IF(OR(AM553=AH553,AM553=AN553,AM553=AL553),"CHECK",0)</f>
        <v>0</v>
      </c>
      <c r="AN600" s="996">
        <f>IF(OR(AN553=AI553,AN553=AO553,AN553=AM553),"CHECK",0)</f>
        <v>0</v>
      </c>
      <c r="AO600" s="996">
        <f>IF(OR(AO553=AJ553,AO553=AN553),"CHECK",0)</f>
        <v>0</v>
      </c>
      <c r="AP600" s="996">
        <f>IF(AP553=AK553,"CHECK",0)</f>
        <v>0</v>
      </c>
      <c r="AQ600" s="996">
        <f>IF(OR(AQ553=AL553,AQ553=AR553,AQ553=AO553),"CHECK",0)</f>
        <v>0</v>
      </c>
      <c r="AR600" s="996">
        <f>IF(OR(AR553=AM553,AR553=AS553,AR553=AQ553),"CHECK",0)</f>
        <v>0</v>
      </c>
      <c r="AS600" s="996">
        <f>IF(OR(AS553=AN553,AS553=AT553,AS553=AR553),"CHECK",0)</f>
        <v>0</v>
      </c>
      <c r="AT600" s="996">
        <f>IF(OR(AT553=AO553,AT553=AS553),"CHECK",0)</f>
        <v>0</v>
      </c>
      <c r="AU600" s="996">
        <f>IF(AU553=AP553,"CHECK",0)</f>
        <v>0</v>
      </c>
      <c r="AV600" s="996">
        <f>IF(OR(AV553=AQ553,AV553=AW553,AV553=AT553),"CHECK",0)</f>
        <v>0</v>
      </c>
      <c r="AW600" s="996">
        <f>IF(OR(AW553=AR553,AW553=AX553,AW553=AV553),"CHECK",0)</f>
        <v>0</v>
      </c>
      <c r="AX600" s="996">
        <f>IF(OR(AX553=AS553,AX553=AY553,AX553=AW553),"CHECK",0)</f>
        <v>0</v>
      </c>
      <c r="AY600" s="996">
        <f>IF(OR(AY553=AT553,AY553=AX553),"CHECK",0)</f>
        <v>0</v>
      </c>
      <c r="AZ600" s="996">
        <f>IF(AZ553=AU553,"CHECK",0)</f>
        <v>0</v>
      </c>
      <c r="BA600" s="996">
        <f>IF(OR(BA553=AV553,BA553=BB553,BA553=AY553),"CHECK",0)</f>
        <v>0</v>
      </c>
      <c r="BB600" s="996">
        <f>IF(OR(BB553=AW553,BB553=BC553,BB553=BA553),"CHECK",0)</f>
        <v>0</v>
      </c>
      <c r="BC600" s="996">
        <f>IF(OR(BC553=AX553,BC553=BD553,BC553=BB553),"CHECK",0)</f>
        <v>0</v>
      </c>
      <c r="BD600" s="996">
        <f>IF(OR(BD553=AY553,BD553=BC553),"CHECK",0)</f>
        <v>0</v>
      </c>
      <c r="BE600" s="996">
        <f>IF(BE553=AZ553,"CHECK",0)</f>
        <v>0</v>
      </c>
      <c r="BF600" s="996">
        <f>IF(OR(BF553=BA553,BF553=BG553,BF553=BD553),"CHECK",0)</f>
        <v>0</v>
      </c>
      <c r="BG600" s="996">
        <f>IF(OR(BG553=BB553,BG553=BH553,BG553=BF553),"CHECK",0)</f>
        <v>0</v>
      </c>
      <c r="BH600" s="997">
        <f ca="1">IF(OR(BH553=BC553,BH553=BI553,BH553=BG553),"CHECK",0)</f>
        <v>0</v>
      </c>
      <c r="BI600" s="998"/>
      <c r="BJ600" s="998"/>
      <c r="BK600" s="998"/>
      <c r="BL600" s="998"/>
      <c r="BM600" s="998"/>
      <c r="BN600" s="998"/>
      <c r="BO600" s="998"/>
      <c r="BP600" s="996"/>
      <c r="BQ600" s="996"/>
      <c r="BR600" s="998"/>
      <c r="BS600" s="664"/>
    </row>
    <row r="601" spans="1:71" s="667" customFormat="1" ht="15">
      <c r="A601" s="664" t="s">
        <v>374</v>
      </c>
      <c r="B601" s="542"/>
      <c r="C601" s="996">
        <f t="shared" si="1358" ref="C601:AK601">IF(ISBLANK(INDEX(MO_IS_FirstRow,0,COLUMN())),0,ROUND(C522-C454,6))</f>
        <v>0</v>
      </c>
      <c r="D601" s="996">
        <f t="shared" si="1358"/>
        <v>0</v>
      </c>
      <c r="E601" s="996">
        <f t="shared" si="1358"/>
        <v>0</v>
      </c>
      <c r="F601" s="996">
        <f t="shared" si="1358"/>
        <v>0</v>
      </c>
      <c r="G601" s="996">
        <f t="shared" si="1358"/>
        <v>0</v>
      </c>
      <c r="H601" s="996">
        <f t="shared" si="1358"/>
        <v>0</v>
      </c>
      <c r="I601" s="996">
        <f t="shared" si="1358"/>
        <v>0</v>
      </c>
      <c r="J601" s="996">
        <f t="shared" si="1358"/>
        <v>0</v>
      </c>
      <c r="K601" s="996">
        <f t="shared" si="1358"/>
        <v>0</v>
      </c>
      <c r="L601" s="996">
        <f t="shared" si="1358"/>
        <v>0</v>
      </c>
      <c r="M601" s="996">
        <f t="shared" si="1358"/>
        <v>0</v>
      </c>
      <c r="N601" s="996">
        <f t="shared" si="1358"/>
        <v>0</v>
      </c>
      <c r="O601" s="996">
        <f t="shared" si="1358"/>
        <v>0</v>
      </c>
      <c r="P601" s="996">
        <f t="shared" si="1358"/>
        <v>0</v>
      </c>
      <c r="Q601" s="996">
        <f t="shared" si="1358"/>
        <v>0</v>
      </c>
      <c r="R601" s="996">
        <f t="shared" si="1358"/>
        <v>0</v>
      </c>
      <c r="S601" s="996">
        <f t="shared" si="1358"/>
        <v>0</v>
      </c>
      <c r="T601" s="996">
        <f t="shared" si="1358"/>
        <v>0</v>
      </c>
      <c r="U601" s="996">
        <f t="shared" si="1358"/>
        <v>0</v>
      </c>
      <c r="V601" s="996">
        <f t="shared" si="1358"/>
        <v>0</v>
      </c>
      <c r="W601" s="996">
        <f t="shared" si="1358"/>
        <v>0</v>
      </c>
      <c r="X601" s="996">
        <f t="shared" si="1358"/>
        <v>0</v>
      </c>
      <c r="Y601" s="996">
        <f t="shared" si="1358"/>
        <v>0</v>
      </c>
      <c r="Z601" s="996">
        <f t="shared" si="1358"/>
        <v>0</v>
      </c>
      <c r="AA601" s="996">
        <f t="shared" si="1358"/>
        <v>0</v>
      </c>
      <c r="AB601" s="996">
        <f t="shared" si="1358"/>
        <v>0</v>
      </c>
      <c r="AC601" s="996">
        <f t="shared" si="1358"/>
        <v>0</v>
      </c>
      <c r="AD601" s="996">
        <f t="shared" si="1358"/>
        <v>0</v>
      </c>
      <c r="AE601" s="996">
        <f t="shared" si="1358"/>
        <v>0</v>
      </c>
      <c r="AF601" s="996">
        <f t="shared" si="1358"/>
        <v>0</v>
      </c>
      <c r="AG601" s="996">
        <f t="shared" si="1358"/>
        <v>0</v>
      </c>
      <c r="AH601" s="996">
        <f t="shared" si="1358"/>
        <v>0</v>
      </c>
      <c r="AI601" s="996">
        <f t="shared" si="1358"/>
        <v>0</v>
      </c>
      <c r="AJ601" s="996">
        <f t="shared" si="1358"/>
        <v>0</v>
      </c>
      <c r="AK601" s="996">
        <f t="shared" si="1358"/>
        <v>0</v>
      </c>
      <c r="AL601" s="996">
        <f t="shared" si="1359" ref="AL601:AQ601">IF(ISBLANK(INDEX(MO_IS_FirstRow,0,COLUMN())),0,ROUND(AL522-AL454,6))</f>
        <v>0</v>
      </c>
      <c r="AM601" s="996">
        <f t="shared" si="1359"/>
        <v>0</v>
      </c>
      <c r="AN601" s="996">
        <f t="shared" si="1359"/>
        <v>0</v>
      </c>
      <c r="AO601" s="996">
        <f t="shared" si="1359"/>
        <v>0</v>
      </c>
      <c r="AP601" s="996">
        <f t="shared" si="1359"/>
        <v>0</v>
      </c>
      <c r="AQ601" s="996">
        <f t="shared" si="1359"/>
        <v>0</v>
      </c>
      <c r="AR601" s="996">
        <f t="shared" si="1360" ref="AR601:AW601">IF(ISBLANK(INDEX(MO_IS_FirstRow,0,COLUMN())),0,ROUND(AR522-AR454,6))</f>
        <v>0</v>
      </c>
      <c r="AS601" s="996">
        <f t="shared" si="1360"/>
        <v>0</v>
      </c>
      <c r="AT601" s="996">
        <f t="shared" si="1360"/>
        <v>0</v>
      </c>
      <c r="AU601" s="996">
        <f t="shared" si="1360"/>
        <v>0</v>
      </c>
      <c r="AV601" s="996">
        <f t="shared" si="1360"/>
        <v>0</v>
      </c>
      <c r="AW601" s="996">
        <f t="shared" si="1360"/>
        <v>0</v>
      </c>
      <c r="AX601" s="996">
        <f t="shared" si="1361" ref="AX601:BJ601">IF(ISBLANK(INDEX(MO_IS_FirstRow,0,COLUMN())),0,ROUND(AX522-AX454,6))</f>
        <v>0</v>
      </c>
      <c r="AY601" s="996">
        <f t="shared" si="1361"/>
        <v>0</v>
      </c>
      <c r="AZ601" s="996">
        <f t="shared" si="1361"/>
        <v>0</v>
      </c>
      <c r="BA601" s="996">
        <f t="shared" si="1362" ref="BA601:BI601">IF(ISBLANK(INDEX(MO_IS_FirstRow,0,COLUMN())),0,ROUND(BA522-BA454,6))</f>
        <v>0</v>
      </c>
      <c r="BB601" s="996">
        <f t="shared" si="1362"/>
        <v>0</v>
      </c>
      <c r="BC601" s="996">
        <f t="shared" si="1362"/>
        <v>0</v>
      </c>
      <c r="BD601" s="996">
        <f t="shared" si="1362"/>
        <v>0</v>
      </c>
      <c r="BE601" s="996">
        <f t="shared" si="1362"/>
        <v>0</v>
      </c>
      <c r="BF601" s="996">
        <f>IF(ISBLANK(INDEX(MO_IS_FirstRow,0,COLUMN())),0,ROUND(BF522-BF454,6))</f>
        <v>0</v>
      </c>
      <c r="BG601" s="996">
        <f>IF(ISBLANK(INDEX(MO_IS_FirstRow,0,COLUMN())),0,ROUND(BG522-BG454,6))</f>
        <v>0</v>
      </c>
      <c r="BH601" s="997">
        <f>IF(ISBLANK(INDEX(MO_IS_FirstRow,0,COLUMN())),0,ROUND(BH522-BH454,6))</f>
        <v>0</v>
      </c>
      <c r="BI601" s="998">
        <f t="shared" si="1362"/>
        <v>0</v>
      </c>
      <c r="BJ601" s="998">
        <f t="shared" si="1361"/>
        <v>0</v>
      </c>
      <c r="BK601" s="998">
        <f t="shared" si="1363" ref="BK601:BR601">IF(ISBLANK(INDEX(MO_IS_FirstRow,0,COLUMN())),0,ROUND(BK522-BK454,6))</f>
        <v>0</v>
      </c>
      <c r="BL601" s="998">
        <f t="shared" si="1363"/>
        <v>0</v>
      </c>
      <c r="BM601" s="998">
        <f t="shared" si="1363"/>
        <v>0</v>
      </c>
      <c r="BN601" s="998">
        <f t="shared" si="1363"/>
        <v>0</v>
      </c>
      <c r="BO601" s="998">
        <f t="shared" si="1363"/>
        <v>0</v>
      </c>
      <c r="BP601" s="996">
        <f t="shared" si="1363"/>
        <v>0</v>
      </c>
      <c r="BQ601" s="996">
        <f t="shared" si="1363"/>
        <v>0</v>
      </c>
      <c r="BR601" s="998">
        <f t="shared" si="1363"/>
        <v>0</v>
      </c>
      <c r="BS601" s="664"/>
    </row>
    <row r="602" spans="1:71" s="667" customFormat="1" ht="15">
      <c r="A602" s="664" t="s">
        <v>375</v>
      </c>
      <c r="B602" s="542"/>
      <c r="C602" s="996"/>
      <c r="D602" s="996"/>
      <c r="E602" s="996"/>
      <c r="F602" s="996"/>
      <c r="G602" s="996"/>
      <c r="H602" s="996"/>
      <c r="I602" s="996"/>
      <c r="J602" s="996"/>
      <c r="K602" s="996"/>
      <c r="L602" s="996">
        <f>ROUND(L280-SUM(H280,I280,J280,K280),6)</f>
        <v>0</v>
      </c>
      <c r="M602" s="996"/>
      <c r="N602" s="996"/>
      <c r="O602" s="996"/>
      <c r="P602" s="996"/>
      <c r="Q602" s="996">
        <f>ROUND(Q280-SUM(M280,N280,O280,P280),6)</f>
        <v>0</v>
      </c>
      <c r="R602" s="996"/>
      <c r="S602" s="996"/>
      <c r="T602" s="996"/>
      <c r="U602" s="996"/>
      <c r="V602" s="996">
        <f>ROUND(V280-SUM(R280,S280,T280,U280),6)</f>
        <v>0</v>
      </c>
      <c r="W602" s="996"/>
      <c r="X602" s="996"/>
      <c r="Y602" s="996"/>
      <c r="Z602" s="996"/>
      <c r="AA602" s="996">
        <f>ROUND(AA280-SUM(W280,X280,Y280,Z280),6)</f>
        <v>0</v>
      </c>
      <c r="AB602" s="996"/>
      <c r="AC602" s="996"/>
      <c r="AD602" s="996"/>
      <c r="AE602" s="996"/>
      <c r="AF602" s="996">
        <f>ROUND(AF280-SUM(AB280,AC280,AD280,AE280),6)</f>
        <v>0</v>
      </c>
      <c r="AG602" s="996"/>
      <c r="AH602" s="996"/>
      <c r="AI602" s="996"/>
      <c r="AJ602" s="996"/>
      <c r="AK602" s="996">
        <f>ROUND(AK280-SUM(AG280,AH280,AI280,AJ280),6)</f>
        <v>0</v>
      </c>
      <c r="AL602" s="996"/>
      <c r="AM602" s="996"/>
      <c r="AN602" s="996"/>
      <c r="AO602" s="996"/>
      <c r="AP602" s="996">
        <f>ROUND(AP280-SUM(AL280,AM280,AN280,AO280),6)</f>
        <v>0</v>
      </c>
      <c r="AQ602" s="996"/>
      <c r="AR602" s="996"/>
      <c r="AS602" s="996"/>
      <c r="AT602" s="996"/>
      <c r="AU602" s="996">
        <f>ROUND(AU280-SUM(AQ280,AR280,AS280,AT280),6)</f>
        <v>0</v>
      </c>
      <c r="AV602" s="996"/>
      <c r="AW602" s="996"/>
      <c r="AX602" s="996"/>
      <c r="AY602" s="996"/>
      <c r="AZ602" s="996">
        <f>ROUND(AZ280-SUM(AV280,AW280,AX280,AY280),6)</f>
        <v>0</v>
      </c>
      <c r="BA602" s="996"/>
      <c r="BB602" s="996"/>
      <c r="BC602" s="996"/>
      <c r="BD602" s="996"/>
      <c r="BE602" s="996">
        <f>ROUND(BE280-SUM(BA280,BB280,BC280,BD280),6)</f>
        <v>0</v>
      </c>
      <c r="BF602" s="996"/>
      <c r="BG602" s="996"/>
      <c r="BH602" s="997"/>
      <c r="BI602" s="998"/>
      <c r="BJ602" s="998">
        <f>ROUND(BJ280-SUM(BF280,BG280,BH280,BI280),6)</f>
        <v>0</v>
      </c>
      <c r="BK602" s="998"/>
      <c r="BL602" s="998"/>
      <c r="BM602" s="998"/>
      <c r="BN602" s="998"/>
      <c r="BO602" s="998">
        <f>ROUND(BO280-SUM(BK280,BL280,BM280,BN280),6)</f>
        <v>0</v>
      </c>
      <c r="BP602" s="996"/>
      <c r="BQ602" s="996"/>
      <c r="BR602" s="998"/>
      <c r="BS602" s="664"/>
    </row>
    <row r="603" spans="1:71" s="667" customFormat="1" ht="15">
      <c r="A603" s="664" t="s">
        <v>376</v>
      </c>
      <c r="B603" s="542"/>
      <c r="C603" s="996"/>
      <c r="D603" s="996"/>
      <c r="E603" s="996"/>
      <c r="F603" s="996"/>
      <c r="G603" s="996"/>
      <c r="H603" s="996"/>
      <c r="I603" s="996"/>
      <c r="J603" s="996"/>
      <c r="K603" s="996"/>
      <c r="L603" s="996">
        <f>ROUND(SUM(H290,I290,J290,K290)-INDEX(MO_RIS_NI_NONGAAP_Diluted,1,COLUMN()),6)</f>
        <v>0</v>
      </c>
      <c r="M603" s="996"/>
      <c r="N603" s="996"/>
      <c r="O603" s="996"/>
      <c r="P603" s="996"/>
      <c r="Q603" s="996">
        <f>ROUND(SUM(M290,N290,O290,P290)-INDEX(MO_RIS_NI_NONGAAP_Diluted,1,COLUMN()),6)</f>
        <v>0</v>
      </c>
      <c r="R603" s="996"/>
      <c r="S603" s="996"/>
      <c r="T603" s="996"/>
      <c r="U603" s="996"/>
      <c r="V603" s="996">
        <f>ROUND(SUM(R290,S290,T290,U290)-INDEX(MO_RIS_NI_NONGAAP_Diluted,1,COLUMN()),6)</f>
        <v>0</v>
      </c>
      <c r="W603" s="996"/>
      <c r="X603" s="996"/>
      <c r="Y603" s="996"/>
      <c r="Z603" s="996"/>
      <c r="AA603" s="996">
        <f>ROUND(SUM(W290,X290,Y290,Z290)-INDEX(MO_RIS_NI_NONGAAP_Diluted,1,COLUMN()),6)</f>
        <v>0</v>
      </c>
      <c r="AB603" s="996"/>
      <c r="AC603" s="996"/>
      <c r="AD603" s="996"/>
      <c r="AE603" s="996"/>
      <c r="AF603" s="996">
        <f>ROUND(SUM(AB290,AC290,AD290,AE290)-INDEX(MO_RIS_NI_NONGAAP_Diluted,1,COLUMN()),6)</f>
        <v>0</v>
      </c>
      <c r="AG603" s="996"/>
      <c r="AH603" s="996"/>
      <c r="AI603" s="996"/>
      <c r="AJ603" s="996"/>
      <c r="AK603" s="996">
        <f>ROUND(SUM(AG290,AH290,AI290,AJ290)-INDEX(MO_RIS_NI_NONGAAP_Diluted,1,COLUMN()),6)</f>
        <v>0</v>
      </c>
      <c r="AL603" s="996"/>
      <c r="AM603" s="996"/>
      <c r="AN603" s="996"/>
      <c r="AO603" s="996"/>
      <c r="AP603" s="996">
        <f>ROUND(SUM(AL290,AM290,AN290,AO290)-INDEX(MO_RIS_NI_NONGAAP_Diluted,1,COLUMN()),6)</f>
        <v>0</v>
      </c>
      <c r="AQ603" s="996"/>
      <c r="AR603" s="996"/>
      <c r="AS603" s="996"/>
      <c r="AT603" s="996"/>
      <c r="AU603" s="996">
        <f>ROUND(SUM(AQ290,AR290,AS290,AT290)-INDEX(MO_RIS_NI_NONGAAP_Diluted,1,COLUMN()),6)</f>
        <v>0</v>
      </c>
      <c r="AV603" s="996"/>
      <c r="AW603" s="996"/>
      <c r="AX603" s="996"/>
      <c r="AY603" s="996"/>
      <c r="AZ603" s="996">
        <f>ROUND(SUM(AV290,AW290,AX290,AY290)-INDEX(MO_RIS_NI_NONGAAP_Diluted,1,COLUMN()),6)</f>
        <v>0</v>
      </c>
      <c r="BA603" s="996"/>
      <c r="BB603" s="996"/>
      <c r="BC603" s="996"/>
      <c r="BD603" s="996"/>
      <c r="BE603" s="996">
        <f>ROUND(SUM(BA290,BB290,BC290,BD290)-INDEX(MO_RIS_NI_NONGAAP_Diluted,1,COLUMN()),6)</f>
        <v>0</v>
      </c>
      <c r="BF603" s="996"/>
      <c r="BG603" s="996"/>
      <c r="BH603" s="997"/>
      <c r="BI603" s="998"/>
      <c r="BJ603" s="998">
        <f>ROUND(SUM(BF290,BG290,BH290,BI290)-INDEX(MO_RIS_NI_NONGAAP_Diluted,1,COLUMN()),6)</f>
        <v>0</v>
      </c>
      <c r="BK603" s="998"/>
      <c r="BL603" s="998"/>
      <c r="BM603" s="998"/>
      <c r="BN603" s="998"/>
      <c r="BO603" s="998">
        <f>ROUND(SUM(BK290,BL290,BM290,BN290)-INDEX(MO_RIS_NI_NONGAAP_Diluted,1,COLUMN()),6)</f>
        <v>0</v>
      </c>
      <c r="BP603" s="996"/>
      <c r="BQ603" s="996"/>
      <c r="BR603" s="998"/>
      <c r="BS603" s="664"/>
    </row>
    <row r="604" spans="1:71" s="667" customFormat="1" ht="15">
      <c r="A604" s="664" t="s">
        <v>377</v>
      </c>
      <c r="B604" s="542"/>
      <c r="C604" s="996"/>
      <c r="D604" s="996"/>
      <c r="E604" s="996"/>
      <c r="F604" s="996"/>
      <c r="G604" s="996"/>
      <c r="H604" s="996"/>
      <c r="I604" s="996"/>
      <c r="J604" s="996"/>
      <c r="K604" s="996"/>
      <c r="L604" s="996">
        <f ca="1">ROUND(SUM(H468,I468,J468,K468)-SUM(OFFSET(INDEX(MO_CFS_CFO_BeforeWC,1,COLUMN()),ROW(INDEX(MO_SubSection_CFS_CFO,1,COLUMN()))-ROW(INDEX(MO_CFS_CFO_BeforeWC,1,COLUMN())),0,ROW(INDEX(MO_CFS_CFO_BeforeWC,1,COLUMN()))-ROW(INDEX(MO_SubSection_CFS_CFO,1,COLUMN())),1)),6)</f>
        <v>0</v>
      </c>
      <c r="M604" s="996"/>
      <c r="N604" s="996"/>
      <c r="O604" s="996"/>
      <c r="P604" s="996"/>
      <c r="Q604" s="996">
        <f ca="1">ROUND(SUM(M468,N468,O468,P468)-SUM(OFFSET(INDEX(MO_CFS_CFO_BeforeWC,1,COLUMN()),ROW(INDEX(MO_SubSection_CFS_CFO,1,COLUMN()))-ROW(INDEX(MO_CFS_CFO_BeforeWC,1,COLUMN())),0,ROW(INDEX(MO_CFS_CFO_BeforeWC,1,COLUMN()))-ROW(INDEX(MO_SubSection_CFS_CFO,1,COLUMN())),1)),6)</f>
        <v>0</v>
      </c>
      <c r="R604" s="996"/>
      <c r="S604" s="996"/>
      <c r="T604" s="996"/>
      <c r="U604" s="996"/>
      <c r="V604" s="996">
        <f ca="1">ROUND(SUM(R468,S468,T468,U468)-SUM(OFFSET(INDEX(MO_CFS_CFO_BeforeWC,1,COLUMN()),ROW(INDEX(MO_SubSection_CFS_CFO,1,COLUMN()))-ROW(INDEX(MO_CFS_CFO_BeforeWC,1,COLUMN())),0,ROW(INDEX(MO_CFS_CFO_BeforeWC,1,COLUMN()))-ROW(INDEX(MO_SubSection_CFS_CFO,1,COLUMN())),1)),6)</f>
        <v>0</v>
      </c>
      <c r="W604" s="996"/>
      <c r="X604" s="996"/>
      <c r="Y604" s="996"/>
      <c r="Z604" s="996"/>
      <c r="AA604" s="996">
        <f ca="1">ROUND(SUM(W468,X468,Y468,Z468)-SUM(OFFSET(INDEX(MO_CFS_CFO_BeforeWC,1,COLUMN()),ROW(INDEX(MO_SubSection_CFS_CFO,1,COLUMN()))-ROW(INDEX(MO_CFS_CFO_BeforeWC,1,COLUMN())),0,ROW(INDEX(MO_CFS_CFO_BeforeWC,1,COLUMN()))-ROW(INDEX(MO_SubSection_CFS_CFO,1,COLUMN())),1)),6)</f>
        <v>0</v>
      </c>
      <c r="AB604" s="996"/>
      <c r="AC604" s="996"/>
      <c r="AD604" s="996"/>
      <c r="AE604" s="996"/>
      <c r="AF604" s="996">
        <f ca="1">ROUND(SUM(AB468,AC468,AD468,AE468)-SUM(OFFSET(INDEX(MO_CFS_CFO_BeforeWC,1,COLUMN()),ROW(INDEX(MO_SubSection_CFS_CFO,1,COLUMN()))-ROW(INDEX(MO_CFS_CFO_BeforeWC,1,COLUMN())),0,ROW(INDEX(MO_CFS_CFO_BeforeWC,1,COLUMN()))-ROW(INDEX(MO_SubSection_CFS_CFO,1,COLUMN())),1)),6)</f>
        <v>0</v>
      </c>
      <c r="AG604" s="996"/>
      <c r="AH604" s="996"/>
      <c r="AI604" s="996"/>
      <c r="AJ604" s="996"/>
      <c r="AK604" s="996">
        <f ca="1">ROUND(SUM(AG468,AH468,AI468,AJ468)-SUM(OFFSET(INDEX(MO_CFS_CFO_BeforeWC,1,COLUMN()),ROW(INDEX(MO_SubSection_CFS_CFO,1,COLUMN()))-ROW(INDEX(MO_CFS_CFO_BeforeWC,1,COLUMN())),0,ROW(INDEX(MO_CFS_CFO_BeforeWC,1,COLUMN()))-ROW(INDEX(MO_SubSection_CFS_CFO,1,COLUMN())),1)),6)</f>
        <v>0</v>
      </c>
      <c r="AL604" s="996"/>
      <c r="AM604" s="996"/>
      <c r="AN604" s="996"/>
      <c r="AO604" s="996"/>
      <c r="AP604" s="996">
        <f ca="1">ROUND(SUM(AL468,AM468,AN468,AO468)-SUM(OFFSET(INDEX(MO_CFS_CFO_BeforeWC,1,COLUMN()),ROW(INDEX(MO_SubSection_CFS_CFO,1,COLUMN()))-ROW(INDEX(MO_CFS_CFO_BeforeWC,1,COLUMN())),0,ROW(INDEX(MO_CFS_CFO_BeforeWC,1,COLUMN()))-ROW(INDEX(MO_SubSection_CFS_CFO,1,COLUMN())),1)),6)</f>
        <v>0</v>
      </c>
      <c r="AQ604" s="996"/>
      <c r="AR604" s="996"/>
      <c r="AS604" s="996"/>
      <c r="AT604" s="996"/>
      <c r="AU604" s="996">
        <f ca="1">ROUND(SUM(AQ468,AR468,AS468,AT468)-SUM(OFFSET(INDEX(MO_CFS_CFO_BeforeWC,1,COLUMN()),ROW(INDEX(MO_SubSection_CFS_CFO,1,COLUMN()))-ROW(INDEX(MO_CFS_CFO_BeforeWC,1,COLUMN())),0,ROW(INDEX(MO_CFS_CFO_BeforeWC,1,COLUMN()))-ROW(INDEX(MO_SubSection_CFS_CFO,1,COLUMN())),1)),6)</f>
        <v>0</v>
      </c>
      <c r="AV604" s="996"/>
      <c r="AW604" s="996"/>
      <c r="AX604" s="996"/>
      <c r="AY604" s="996"/>
      <c r="AZ604" s="996">
        <f ca="1">ROUND(SUM(AV468,AW468,AX468,AY468)-SUM(OFFSET(INDEX(MO_CFS_CFO_BeforeWC,1,COLUMN()),ROW(INDEX(MO_SubSection_CFS_CFO,1,COLUMN()))-ROW(INDEX(MO_CFS_CFO_BeforeWC,1,COLUMN())),0,ROW(INDEX(MO_CFS_CFO_BeforeWC,1,COLUMN()))-ROW(INDEX(MO_SubSection_CFS_CFO,1,COLUMN())),1)),6)</f>
        <v>0</v>
      </c>
      <c r="BA604" s="996"/>
      <c r="BB604" s="996"/>
      <c r="BC604" s="996"/>
      <c r="BD604" s="996"/>
      <c r="BE604" s="996">
        <f ca="1">ROUND(SUM(BA468,BB468,BC468,BD468)-SUM(OFFSET(INDEX(MO_CFS_CFO_BeforeWC,1,COLUMN()),ROW(INDEX(MO_SubSection_CFS_CFO,1,COLUMN()))-ROW(INDEX(MO_CFS_CFO_BeforeWC,1,COLUMN())),0,ROW(INDEX(MO_CFS_CFO_BeforeWC,1,COLUMN()))-ROW(INDEX(MO_SubSection_CFS_CFO,1,COLUMN())),1)),6)</f>
        <v>0</v>
      </c>
      <c r="BF604" s="996"/>
      <c r="BG604" s="996"/>
      <c r="BH604" s="997"/>
      <c r="BI604" s="998"/>
      <c r="BJ604" s="998">
        <f ca="1">ROUND(SUM(BF468,BG468,BH468,BI468)-SUM(OFFSET(INDEX(MO_CFS_CFO_BeforeWC,1,COLUMN()),ROW(INDEX(MO_SubSection_CFS_CFO,1,COLUMN()))-ROW(INDEX(MO_CFS_CFO_BeforeWC,1,COLUMN())),0,ROW(INDEX(MO_CFS_CFO_BeforeWC,1,COLUMN()))-ROW(INDEX(MO_SubSection_CFS_CFO,1,COLUMN())),1)),6)</f>
        <v>0</v>
      </c>
      <c r="BK604" s="998"/>
      <c r="BL604" s="998"/>
      <c r="BM604" s="998"/>
      <c r="BN604" s="998"/>
      <c r="BO604" s="998">
        <f ca="1">ROUND(SUM(BK468,BL468,BM468,BN468)-SUM(OFFSET(INDEX(MO_CFS_CFO_BeforeWC,1,COLUMN()),ROW(INDEX(MO_SubSection_CFS_CFO,1,COLUMN()))-ROW(INDEX(MO_CFS_CFO_BeforeWC,1,COLUMN())),0,ROW(INDEX(MO_CFS_CFO_BeforeWC,1,COLUMN()))-ROW(INDEX(MO_SubSection_CFS_CFO,1,COLUMN())),1)),6)</f>
        <v>0</v>
      </c>
      <c r="BP604" s="996"/>
      <c r="BQ604" s="996"/>
      <c r="BR604" s="998"/>
      <c r="BS604" s="664"/>
    </row>
    <row r="605" spans="1:71" s="667" customFormat="1" ht="15">
      <c r="A605" s="664" t="s">
        <v>378</v>
      </c>
      <c r="B605" s="542"/>
      <c r="C605" s="996"/>
      <c r="D605" s="996"/>
      <c r="E605" s="996"/>
      <c r="F605" s="996"/>
      <c r="G605" s="996"/>
      <c r="H605" s="996"/>
      <c r="I605" s="996"/>
      <c r="J605" s="996"/>
      <c r="K605" s="996"/>
      <c r="L605" s="996">
        <f ca="1">ROUND(SUM(H476,I476,J476,K476)-SUM(OFFSET(INDEX(MO_CFS_CFO,1,COLUMN()),ROW(INDEX(MO_CFS_CFO_BeforeWC,1,COLUMN()))-ROW(INDEX(MO_CFS_CFO,1,COLUMN())),0,ROW(INDEX(MO_CFS_CFO,1,COLUMN()))-ROW(INDEX(MO_CFS_CFO_BeforeWC,1,COLUMN())),1)),6)</f>
        <v>0</v>
      </c>
      <c r="M605" s="996"/>
      <c r="N605" s="996"/>
      <c r="O605" s="996"/>
      <c r="P605" s="996"/>
      <c r="Q605" s="996">
        <f ca="1">ROUND(SUM(M476,N476,O476,P476)-SUM(OFFSET(INDEX(MO_CFS_CFO,1,COLUMN()),ROW(INDEX(MO_CFS_CFO_BeforeWC,1,COLUMN()))-ROW(INDEX(MO_CFS_CFO,1,COLUMN())),0,ROW(INDEX(MO_CFS_CFO,1,COLUMN()))-ROW(INDEX(MO_CFS_CFO_BeforeWC,1,COLUMN())),1)),6)</f>
        <v>0</v>
      </c>
      <c r="R605" s="996"/>
      <c r="S605" s="996"/>
      <c r="T605" s="996"/>
      <c r="U605" s="996"/>
      <c r="V605" s="996">
        <f ca="1">ROUND(SUM(R476,S476,T476,U476)-SUM(OFFSET(INDEX(MO_CFS_CFO,1,COLUMN()),ROW(INDEX(MO_CFS_CFO_BeforeWC,1,COLUMN()))-ROW(INDEX(MO_CFS_CFO,1,COLUMN())),0,ROW(INDEX(MO_CFS_CFO,1,COLUMN()))-ROW(INDEX(MO_CFS_CFO_BeforeWC,1,COLUMN())),1)),6)</f>
        <v>0</v>
      </c>
      <c r="W605" s="996"/>
      <c r="X605" s="996"/>
      <c r="Y605" s="996"/>
      <c r="Z605" s="996"/>
      <c r="AA605" s="996">
        <f ca="1">ROUND(SUM(W476,X476,Y476,Z476)-SUM(OFFSET(INDEX(MO_CFS_CFO,1,COLUMN()),ROW(INDEX(MO_CFS_CFO_BeforeWC,1,COLUMN()))-ROW(INDEX(MO_CFS_CFO,1,COLUMN())),0,ROW(INDEX(MO_CFS_CFO,1,COLUMN()))-ROW(INDEX(MO_CFS_CFO_BeforeWC,1,COLUMN())),1)),6)</f>
        <v>0</v>
      </c>
      <c r="AB605" s="996"/>
      <c r="AC605" s="996"/>
      <c r="AD605" s="996"/>
      <c r="AE605" s="996"/>
      <c r="AF605" s="996">
        <f ca="1">ROUND(SUM(AB476,AC476,AD476,AE476)-SUM(OFFSET(INDEX(MO_CFS_CFO,1,COLUMN()),ROW(INDEX(MO_CFS_CFO_BeforeWC,1,COLUMN()))-ROW(INDEX(MO_CFS_CFO,1,COLUMN())),0,ROW(INDEX(MO_CFS_CFO,1,COLUMN()))-ROW(INDEX(MO_CFS_CFO_BeforeWC,1,COLUMN())),1)),6)</f>
        <v>0</v>
      </c>
      <c r="AG605" s="996"/>
      <c r="AH605" s="996"/>
      <c r="AI605" s="996"/>
      <c r="AJ605" s="996"/>
      <c r="AK605" s="996">
        <f ca="1">ROUND(SUM(AG476,AH476,AI476,AJ476)-SUM(OFFSET(INDEX(MO_CFS_CFO,1,COLUMN()),ROW(INDEX(MO_CFS_CFO_BeforeWC,1,COLUMN()))-ROW(INDEX(MO_CFS_CFO,1,COLUMN())),0,ROW(INDEX(MO_CFS_CFO,1,COLUMN()))-ROW(INDEX(MO_CFS_CFO_BeforeWC,1,COLUMN())),1)),6)</f>
        <v>0</v>
      </c>
      <c r="AL605" s="996"/>
      <c r="AM605" s="996"/>
      <c r="AN605" s="996"/>
      <c r="AO605" s="996"/>
      <c r="AP605" s="996">
        <f ca="1">ROUND(SUM(AL476,AM476,AN476,AO476)-SUM(OFFSET(INDEX(MO_CFS_CFO,1,COLUMN()),ROW(INDEX(MO_CFS_CFO_BeforeWC,1,COLUMN()))-ROW(INDEX(MO_CFS_CFO,1,COLUMN())),0,ROW(INDEX(MO_CFS_CFO,1,COLUMN()))-ROW(INDEX(MO_CFS_CFO_BeforeWC,1,COLUMN())),1)),6)</f>
        <v>0</v>
      </c>
      <c r="AQ605" s="996"/>
      <c r="AR605" s="996"/>
      <c r="AS605" s="996"/>
      <c r="AT605" s="996"/>
      <c r="AU605" s="996">
        <f ca="1">ROUND(SUM(AQ476,AR476,AS476,AT476)-SUM(OFFSET(INDEX(MO_CFS_CFO,1,COLUMN()),ROW(INDEX(MO_CFS_CFO_BeforeWC,1,COLUMN()))-ROW(INDEX(MO_CFS_CFO,1,COLUMN())),0,ROW(INDEX(MO_CFS_CFO,1,COLUMN()))-ROW(INDEX(MO_CFS_CFO_BeforeWC,1,COLUMN())),1)),6)</f>
        <v>0</v>
      </c>
      <c r="AV605" s="996"/>
      <c r="AW605" s="996"/>
      <c r="AX605" s="996"/>
      <c r="AY605" s="996"/>
      <c r="AZ605" s="996">
        <f ca="1">ROUND(SUM(AV476,AW476,AX476,AY476)-SUM(OFFSET(INDEX(MO_CFS_CFO,1,COLUMN()),ROW(INDEX(MO_CFS_CFO_BeforeWC,1,COLUMN()))-ROW(INDEX(MO_CFS_CFO,1,COLUMN())),0,ROW(INDEX(MO_CFS_CFO,1,COLUMN()))-ROW(INDEX(MO_CFS_CFO_BeforeWC,1,COLUMN())),1)),6)</f>
        <v>0</v>
      </c>
      <c r="BA605" s="996"/>
      <c r="BB605" s="996"/>
      <c r="BC605" s="996"/>
      <c r="BD605" s="996"/>
      <c r="BE605" s="996">
        <f ca="1">ROUND(SUM(BA476,BB476,BC476,BD476)-SUM(OFFSET(INDEX(MO_CFS_CFO,1,COLUMN()),ROW(INDEX(MO_CFS_CFO_BeforeWC,1,COLUMN()))-ROW(INDEX(MO_CFS_CFO,1,COLUMN())),0,ROW(INDEX(MO_CFS_CFO,1,COLUMN()))-ROW(INDEX(MO_CFS_CFO_BeforeWC,1,COLUMN())),1)),6)</f>
        <v>0</v>
      </c>
      <c r="BF605" s="996"/>
      <c r="BG605" s="996"/>
      <c r="BH605" s="997"/>
      <c r="BI605" s="998"/>
      <c r="BJ605" s="998">
        <f ca="1">ROUND(SUM(BF476,BG476,BH476,BI476)-SUM(OFFSET(INDEX(MO_CFS_CFO,1,COLUMN()),ROW(INDEX(MO_CFS_CFO_BeforeWC,1,COLUMN()))-ROW(INDEX(MO_CFS_CFO,1,COLUMN())),0,ROW(INDEX(MO_CFS_CFO,1,COLUMN()))-ROW(INDEX(MO_CFS_CFO_BeforeWC,1,COLUMN())),1)),6)</f>
        <v>0</v>
      </c>
      <c r="BK605" s="998"/>
      <c r="BL605" s="998"/>
      <c r="BM605" s="998"/>
      <c r="BN605" s="998"/>
      <c r="BO605" s="998">
        <f ca="1">ROUND(SUM(BK476,BL476,BM476,BN476)-SUM(OFFSET(INDEX(MO_CFS_CFO,1,COLUMN()),ROW(INDEX(MO_CFS_CFO_BeforeWC,1,COLUMN()))-ROW(INDEX(MO_CFS_CFO,1,COLUMN())),0,ROW(INDEX(MO_CFS_CFO,1,COLUMN()))-ROW(INDEX(MO_CFS_CFO_BeforeWC,1,COLUMN())),1)),6)</f>
        <v>0</v>
      </c>
      <c r="BP605" s="996"/>
      <c r="BQ605" s="996"/>
      <c r="BR605" s="998"/>
      <c r="BS605" s="664"/>
    </row>
    <row r="606" spans="1:71" s="667" customFormat="1" ht="15">
      <c r="A606" s="664" t="s">
        <v>379</v>
      </c>
      <c r="B606" s="542"/>
      <c r="C606" s="996"/>
      <c r="D606" s="996"/>
      <c r="E606" s="996"/>
      <c r="F606" s="996"/>
      <c r="G606" s="996"/>
      <c r="H606" s="996"/>
      <c r="I606" s="996"/>
      <c r="J606" s="996"/>
      <c r="K606" s="996"/>
      <c r="L606" s="996">
        <f>ROUND(L497-SUM(H497,I497,J497,K497),6)</f>
        <v>0</v>
      </c>
      <c r="M606" s="996"/>
      <c r="N606" s="996"/>
      <c r="O606" s="996"/>
      <c r="P606" s="996"/>
      <c r="Q606" s="996">
        <f>ROUND(Q497-SUM(M497,N497,O497,P497),6)</f>
        <v>0</v>
      </c>
      <c r="R606" s="996"/>
      <c r="S606" s="996"/>
      <c r="T606" s="996"/>
      <c r="U606" s="996"/>
      <c r="V606" s="996">
        <f>ROUND(V497-SUM(R497,S497,T497,U497),6)</f>
        <v>0</v>
      </c>
      <c r="W606" s="996"/>
      <c r="X606" s="996"/>
      <c r="Y606" s="996"/>
      <c r="Z606" s="996"/>
      <c r="AA606" s="996">
        <f>ROUND(AA497-SUM(W497,X497,Y497,Z497),6)</f>
        <v>0</v>
      </c>
      <c r="AB606" s="996"/>
      <c r="AC606" s="996"/>
      <c r="AD606" s="996"/>
      <c r="AE606" s="996"/>
      <c r="AF606" s="996">
        <f>ROUND(AF497-SUM(AB497,AC497,AD497,AE497),6)</f>
        <v>0</v>
      </c>
      <c r="AG606" s="996"/>
      <c r="AH606" s="996"/>
      <c r="AI606" s="996"/>
      <c r="AJ606" s="996"/>
      <c r="AK606" s="996">
        <f>ROUND(AK497-SUM(AG497,AH497,AI497,AJ497),6)</f>
        <v>0</v>
      </c>
      <c r="AL606" s="996"/>
      <c r="AM606" s="996"/>
      <c r="AN606" s="996"/>
      <c r="AO606" s="996"/>
      <c r="AP606" s="996">
        <f>ROUND(AP497-SUM(AL497,AM497,AN497,AO497),6)</f>
        <v>0</v>
      </c>
      <c r="AQ606" s="996"/>
      <c r="AR606" s="996"/>
      <c r="AS606" s="996"/>
      <c r="AT606" s="996"/>
      <c r="AU606" s="996">
        <f>ROUND(AU497-SUM(AQ497,AR497,AS497,AT497),6)</f>
        <v>0</v>
      </c>
      <c r="AV606" s="996"/>
      <c r="AW606" s="996"/>
      <c r="AX606" s="996"/>
      <c r="AY606" s="996"/>
      <c r="AZ606" s="996">
        <f>ROUND(AZ497-SUM(AV497,AW497,AX497,AY497),6)</f>
        <v>0</v>
      </c>
      <c r="BA606" s="996"/>
      <c r="BB606" s="996"/>
      <c r="BC606" s="996"/>
      <c r="BD606" s="996"/>
      <c r="BE606" s="996">
        <f>ROUND(BE497-SUM(BA497,BB497,BC497,BD497),6)</f>
        <v>0</v>
      </c>
      <c r="BF606" s="996"/>
      <c r="BG606" s="996"/>
      <c r="BH606" s="997"/>
      <c r="BI606" s="998"/>
      <c r="BJ606" s="998">
        <f>ROUND(BJ497-SUM(BF497,BG497,BH497,BI497),6)</f>
        <v>0</v>
      </c>
      <c r="BK606" s="998"/>
      <c r="BL606" s="998"/>
      <c r="BM606" s="998"/>
      <c r="BN606" s="998"/>
      <c r="BO606" s="998">
        <f>ROUND(BO497-SUM(BK497,BL497,BM497,BN497),6)</f>
        <v>0</v>
      </c>
      <c r="BP606" s="996"/>
      <c r="BQ606" s="996"/>
      <c r="BR606" s="998"/>
      <c r="BS606" s="664"/>
    </row>
    <row r="607" spans="1:71" s="667" customFormat="1" ht="15">
      <c r="A607" s="664" t="s">
        <v>380</v>
      </c>
      <c r="B607" s="542"/>
      <c r="C607" s="996"/>
      <c r="D607" s="996"/>
      <c r="E607" s="996"/>
      <c r="F607" s="996"/>
      <c r="G607" s="996"/>
      <c r="H607" s="996"/>
      <c r="I607" s="996"/>
      <c r="J607" s="996"/>
      <c r="K607" s="996"/>
      <c r="L607" s="996">
        <f>ROUND(L516-SUM(H516,I516,J516,K516),6)</f>
        <v>0</v>
      </c>
      <c r="M607" s="996"/>
      <c r="N607" s="996"/>
      <c r="O607" s="996"/>
      <c r="P607" s="996"/>
      <c r="Q607" s="996">
        <f>ROUND(Q516-SUM(M516,N516,O516,P516),6)</f>
        <v>0</v>
      </c>
      <c r="R607" s="996"/>
      <c r="S607" s="996"/>
      <c r="T607" s="996"/>
      <c r="U607" s="996"/>
      <c r="V607" s="996">
        <f>ROUND(V516-SUM(R516,S516,T516,U516),6)</f>
        <v>0</v>
      </c>
      <c r="W607" s="996"/>
      <c r="X607" s="996"/>
      <c r="Y607" s="996"/>
      <c r="Z607" s="996"/>
      <c r="AA607" s="996">
        <f>ROUND(AA516-SUM(W516,X516,Y516,Z516),6)</f>
        <v>0</v>
      </c>
      <c r="AB607" s="996"/>
      <c r="AC607" s="996"/>
      <c r="AD607" s="996"/>
      <c r="AE607" s="996"/>
      <c r="AF607" s="996">
        <f>ROUND(AF516-SUM(AB516,AC516,AD516,AE516),6)</f>
        <v>0</v>
      </c>
      <c r="AG607" s="996"/>
      <c r="AH607" s="996"/>
      <c r="AI607" s="996"/>
      <c r="AJ607" s="996"/>
      <c r="AK607" s="996">
        <f>ROUND(AK516-SUM(AG516,AH516,AI516,AJ516),6)</f>
        <v>0</v>
      </c>
      <c r="AL607" s="996"/>
      <c r="AM607" s="996"/>
      <c r="AN607" s="996"/>
      <c r="AO607" s="996"/>
      <c r="AP607" s="996">
        <f>ROUND(AP516-SUM(AL516,AM516,AN516,AO516),6)</f>
        <v>0</v>
      </c>
      <c r="AQ607" s="996"/>
      <c r="AR607" s="996"/>
      <c r="AS607" s="996"/>
      <c r="AT607" s="996"/>
      <c r="AU607" s="996">
        <f>ROUND(AU516-SUM(AQ516,AR516,AS516,AT516),6)</f>
        <v>0</v>
      </c>
      <c r="AV607" s="996"/>
      <c r="AW607" s="996"/>
      <c r="AX607" s="996"/>
      <c r="AY607" s="996"/>
      <c r="AZ607" s="996">
        <f>ROUND(AZ516-SUM(AV516,AW516,AX516,AY516),6)</f>
        <v>0</v>
      </c>
      <c r="BA607" s="996"/>
      <c r="BB607" s="996"/>
      <c r="BC607" s="996"/>
      <c r="BD607" s="996"/>
      <c r="BE607" s="996">
        <f>ROUND(BE516-SUM(BA516,BB516,BC516,BD516),6)</f>
        <v>0</v>
      </c>
      <c r="BF607" s="996"/>
      <c r="BG607" s="996"/>
      <c r="BH607" s="997"/>
      <c r="BI607" s="998"/>
      <c r="BJ607" s="998">
        <f ca="1">ROUND(BJ516-SUM(BF516,BG516,BH516,BI516),6)</f>
        <v>0</v>
      </c>
      <c r="BK607" s="998"/>
      <c r="BL607" s="998"/>
      <c r="BM607" s="998"/>
      <c r="BN607" s="998"/>
      <c r="BO607" s="998">
        <f ca="1">ROUND(BO516-SUM(BK516,BL516,BM516,BN516),6)</f>
        <v>0</v>
      </c>
      <c r="BP607" s="996"/>
      <c r="BQ607" s="996"/>
      <c r="BR607" s="998"/>
      <c r="BS607" s="664"/>
    </row>
    <row r="608" spans="1:71" s="667" customFormat="1" ht="15">
      <c r="A608" s="954"/>
      <c r="B608" s="954"/>
      <c r="C608" s="971"/>
      <c r="D608" s="971"/>
      <c r="E608" s="971"/>
      <c r="F608" s="971"/>
      <c r="G608" s="971"/>
      <c r="H608" s="971"/>
      <c r="I608" s="971"/>
      <c r="J608" s="971"/>
      <c r="K608" s="971"/>
      <c r="L608" s="971"/>
      <c r="M608" s="971"/>
      <c r="N608" s="971"/>
      <c r="O608" s="971"/>
      <c r="P608" s="971"/>
      <c r="Q608" s="971"/>
      <c r="R608" s="971"/>
      <c r="S608" s="971"/>
      <c r="T608" s="971"/>
      <c r="U608" s="971"/>
      <c r="V608" s="971"/>
      <c r="W608" s="971"/>
      <c r="X608" s="971"/>
      <c r="Y608" s="971"/>
      <c r="Z608" s="971"/>
      <c r="AA608" s="971"/>
      <c r="AB608" s="971"/>
      <c r="AC608" s="971"/>
      <c r="AD608" s="971"/>
      <c r="AE608" s="971"/>
      <c r="AF608" s="971"/>
      <c r="AG608" s="971"/>
      <c r="AH608" s="971"/>
      <c r="AI608" s="971"/>
      <c r="AJ608" s="971"/>
      <c r="AK608" s="971"/>
      <c r="AL608" s="971"/>
      <c r="AM608" s="971"/>
      <c r="AN608" s="971"/>
      <c r="AO608" s="971"/>
      <c r="AP608" s="971"/>
      <c r="AQ608" s="971"/>
      <c r="AR608" s="971"/>
      <c r="AS608" s="971"/>
      <c r="AT608" s="971"/>
      <c r="AU608" s="971"/>
      <c r="AV608" s="971"/>
      <c r="AW608" s="971"/>
      <c r="AX608" s="971"/>
      <c r="AY608" s="971"/>
      <c r="AZ608" s="971"/>
      <c r="BA608" s="971"/>
      <c r="BB608" s="971"/>
      <c r="BC608" s="971"/>
      <c r="BD608" s="971"/>
      <c r="BE608" s="971"/>
      <c r="BF608" s="971"/>
      <c r="BG608" s="971"/>
      <c r="BH608" s="972"/>
      <c r="BI608" s="973"/>
      <c r="BJ608" s="973"/>
      <c r="BK608" s="973"/>
      <c r="BL608" s="973"/>
      <c r="BM608" s="973"/>
      <c r="BN608" s="973"/>
      <c r="BO608" s="973"/>
      <c r="BP608" s="971"/>
      <c r="BQ608" s="971"/>
      <c r="BR608" s="973"/>
      <c r="BS608" s="664"/>
    </row>
    <row r="609" spans="1:71" s="672" customFormat="1" ht="15">
      <c r="A609" s="957" t="s">
        <v>381</v>
      </c>
      <c r="B609" s="957"/>
      <c r="C609" s="955"/>
      <c r="D609" s="955"/>
      <c r="E609" s="955"/>
      <c r="F609" s="955"/>
      <c r="G609" s="955"/>
      <c r="H609" s="955"/>
      <c r="I609" s="955"/>
      <c r="J609" s="955"/>
      <c r="K609" s="955"/>
      <c r="L609" s="955"/>
      <c r="M609" s="955"/>
      <c r="N609" s="955"/>
      <c r="O609" s="955"/>
      <c r="P609" s="955"/>
      <c r="Q609" s="955"/>
      <c r="R609" s="955"/>
      <c r="S609" s="955"/>
      <c r="T609" s="955"/>
      <c r="U609" s="955"/>
      <c r="V609" s="955"/>
      <c r="W609" s="955"/>
      <c r="X609" s="955"/>
      <c r="Y609" s="955"/>
      <c r="Z609" s="955"/>
      <c r="AA609" s="955"/>
      <c r="AB609" s="955"/>
      <c r="AC609" s="955"/>
      <c r="AD609" s="955"/>
      <c r="AE609" s="955"/>
      <c r="AF609" s="955"/>
      <c r="AG609" s="955"/>
      <c r="AH609" s="955"/>
      <c r="AI609" s="955"/>
      <c r="AJ609" s="955"/>
      <c r="AK609" s="955"/>
      <c r="AL609" s="955"/>
      <c r="AM609" s="955"/>
      <c r="AN609" s="955"/>
      <c r="AO609" s="955"/>
      <c r="AP609" s="955"/>
      <c r="AQ609" s="955"/>
      <c r="AR609" s="955"/>
      <c r="AS609" s="955"/>
      <c r="AT609" s="955"/>
      <c r="AU609" s="955"/>
      <c r="AV609" s="955"/>
      <c r="AW609" s="955"/>
      <c r="AX609" s="955"/>
      <c r="AY609" s="955"/>
      <c r="AZ609" s="955"/>
      <c r="BA609" s="955"/>
      <c r="BB609" s="955"/>
      <c r="BC609" s="955"/>
      <c r="BD609" s="955"/>
      <c r="BE609" s="955"/>
      <c r="BF609" s="955"/>
      <c r="BG609" s="955"/>
      <c r="BH609" s="956"/>
      <c r="BI609" s="957"/>
      <c r="BJ609" s="957"/>
      <c r="BK609" s="957"/>
      <c r="BL609" s="957"/>
      <c r="BM609" s="957"/>
      <c r="BN609" s="957"/>
      <c r="BO609" s="957"/>
      <c r="BP609" s="955"/>
      <c r="BQ609" s="955"/>
      <c r="BR609" s="957"/>
      <c r="BS609" s="456"/>
    </row>
    <row r="610" spans="1:71" s="667" customFormat="1" ht="15">
      <c r="A610" s="543"/>
      <c r="B610" s="954"/>
      <c r="C610" s="437"/>
      <c r="D610" s="437"/>
      <c r="E610" s="952"/>
      <c r="F610" s="952"/>
      <c r="G610" s="952"/>
      <c r="H610" s="952"/>
      <c r="I610" s="952"/>
      <c r="J610" s="952"/>
      <c r="K610" s="952"/>
      <c r="L610" s="952"/>
      <c r="M610" s="952"/>
      <c r="N610" s="952"/>
      <c r="O610" s="952"/>
      <c r="P610" s="952"/>
      <c r="Q610" s="952"/>
      <c r="R610" s="952"/>
      <c r="S610" s="952"/>
      <c r="T610" s="952"/>
      <c r="U610" s="952"/>
      <c r="V610" s="952"/>
      <c r="W610" s="952"/>
      <c r="X610" s="952"/>
      <c r="Y610" s="952"/>
      <c r="Z610" s="952"/>
      <c r="AA610" s="952"/>
      <c r="AB610" s="952"/>
      <c r="AC610" s="952"/>
      <c r="AD610" s="952"/>
      <c r="AE610" s="952"/>
      <c r="AF610" s="952"/>
      <c r="AG610" s="952"/>
      <c r="AH610" s="952"/>
      <c r="AI610" s="952"/>
      <c r="AJ610" s="952"/>
      <c r="AK610" s="952"/>
      <c r="AL610" s="952"/>
      <c r="AM610" s="952"/>
      <c r="AN610" s="952"/>
      <c r="AO610" s="952"/>
      <c r="AP610" s="952"/>
      <c r="AQ610" s="952"/>
      <c r="AR610" s="952"/>
      <c r="AS610" s="952"/>
      <c r="AT610" s="952"/>
      <c r="AU610" s="952"/>
      <c r="AV610" s="952"/>
      <c r="AW610" s="952"/>
      <c r="AX610" s="952"/>
      <c r="AY610" s="952"/>
      <c r="AZ610" s="952"/>
      <c r="BA610" s="952"/>
      <c r="BB610" s="952"/>
      <c r="BC610" s="952"/>
      <c r="BD610" s="952"/>
      <c r="BE610" s="952"/>
      <c r="BF610" s="952"/>
      <c r="BG610" s="952"/>
      <c r="BH610" s="953"/>
      <c r="BI610" s="954"/>
      <c r="BJ610" s="954"/>
      <c r="BK610" s="954"/>
      <c r="BL610" s="954"/>
      <c r="BM610" s="954"/>
      <c r="BN610" s="954"/>
      <c r="BO610" s="954"/>
      <c r="BP610" s="952"/>
      <c r="BQ610" s="952"/>
      <c r="BR610" s="954"/>
      <c r="BS610" s="664"/>
    </row>
    <row r="611" spans="1:71" s="674" customFormat="1" ht="15">
      <c r="A611" s="387" t="s">
        <v>382</v>
      </c>
      <c r="B611" s="544"/>
      <c r="C611" s="545"/>
      <c r="D611" s="545"/>
      <c r="E611" s="426"/>
      <c r="F611" s="426"/>
      <c r="G611" s="426"/>
      <c r="H611" s="426"/>
      <c r="I611" s="426"/>
      <c r="J611" s="426"/>
      <c r="K611" s="426"/>
      <c r="L611" s="426"/>
      <c r="M611" s="426"/>
      <c r="N611" s="426"/>
      <c r="O611" s="426"/>
      <c r="P611" s="426"/>
      <c r="Q611" s="426"/>
      <c r="R611" s="426"/>
      <c r="S611" s="426"/>
      <c r="T611" s="426"/>
      <c r="U611" s="426"/>
      <c r="V611" s="426"/>
      <c r="W611" s="426"/>
      <c r="X611" s="426"/>
      <c r="Y611" s="426"/>
      <c r="Z611" s="426"/>
      <c r="AA611" s="426"/>
      <c r="AB611" s="426"/>
      <c r="AC611" s="426"/>
      <c r="AD611" s="426"/>
      <c r="AE611" s="426"/>
      <c r="AF611" s="426"/>
      <c r="AG611" s="426"/>
      <c r="AH611" s="426"/>
      <c r="AI611" s="426"/>
      <c r="AJ611" s="426"/>
      <c r="AK611" s="426"/>
      <c r="AL611" s="426"/>
      <c r="AM611" s="426"/>
      <c r="AN611" s="426"/>
      <c r="AO611" s="426"/>
      <c r="AP611" s="426"/>
      <c r="AQ611" s="426"/>
      <c r="AR611" s="426"/>
      <c r="AS611" s="426"/>
      <c r="AT611" s="426"/>
      <c r="AU611" s="426"/>
      <c r="AV611" s="426"/>
      <c r="AW611" s="426"/>
      <c r="AX611" s="426"/>
      <c r="AY611" s="426"/>
      <c r="AZ611" s="426"/>
      <c r="BA611" s="426"/>
      <c r="BB611" s="426"/>
      <c r="BC611" s="426"/>
      <c r="BD611" s="426"/>
      <c r="BE611" s="426"/>
      <c r="BF611" s="426"/>
      <c r="BG611" s="426"/>
      <c r="BH611" s="487"/>
      <c r="BI611" s="159"/>
      <c r="BJ611" s="159"/>
      <c r="BK611" s="159"/>
      <c r="BL611" s="159"/>
      <c r="BM611" s="159"/>
      <c r="BN611" s="159"/>
      <c r="BO611" s="159"/>
      <c r="BP611" s="426"/>
      <c r="BQ611" s="426"/>
      <c r="BR611" s="159"/>
      <c r="BS611" s="37"/>
    </row>
    <row r="612" spans="1:71" s="674" customFormat="1" ht="15">
      <c r="A612" s="931" t="s">
        <v>566</v>
      </c>
      <c r="B612" s="546"/>
      <c r="C612" s="547"/>
      <c r="D612" s="547"/>
      <c r="E612" s="419"/>
      <c r="F612" s="419"/>
      <c r="G612" s="419"/>
      <c r="H612" s="419"/>
      <c r="I612" s="419"/>
      <c r="J612" s="419"/>
      <c r="K612" s="419"/>
      <c r="L612" s="419"/>
      <c r="M612" s="419"/>
      <c r="N612" s="419"/>
      <c r="O612" s="419"/>
      <c r="P612" s="419"/>
      <c r="Q612" s="419"/>
      <c r="R612" s="419"/>
      <c r="S612" s="419"/>
      <c r="T612" s="419"/>
      <c r="U612" s="419"/>
      <c r="V612" s="419"/>
      <c r="W612" s="419"/>
      <c r="X612" s="419"/>
      <c r="Y612" s="419"/>
      <c r="Z612" s="419"/>
      <c r="AA612" s="419"/>
      <c r="AB612" s="419"/>
      <c r="AC612" s="419"/>
      <c r="AD612" s="419"/>
      <c r="AE612" s="419"/>
      <c r="AF612" s="419"/>
      <c r="AG612" s="419"/>
      <c r="AH612" s="419"/>
      <c r="AI612" s="419"/>
      <c r="AJ612" s="419"/>
      <c r="AK612" s="419"/>
      <c r="AL612" s="419"/>
      <c r="AM612" s="419"/>
      <c r="AN612" s="419"/>
      <c r="AO612" s="419"/>
      <c r="AP612" s="419"/>
      <c r="AQ612" s="419"/>
      <c r="AR612" s="419"/>
      <c r="AS612" s="419"/>
      <c r="AT612" s="419"/>
      <c r="AU612" s="419"/>
      <c r="AV612" s="419"/>
      <c r="AW612" s="419"/>
      <c r="AX612" s="419"/>
      <c r="AY612" s="419"/>
      <c r="AZ612" s="419"/>
      <c r="BA612" s="419"/>
      <c r="BB612" s="419"/>
      <c r="BC612" s="419"/>
      <c r="BD612" s="419"/>
      <c r="BE612" s="419"/>
      <c r="BF612" s="419"/>
      <c r="BG612" s="419"/>
      <c r="BH612" s="464"/>
      <c r="BI612" s="419"/>
      <c r="BJ612" s="419"/>
      <c r="BK612" s="419"/>
      <c r="BL612" s="419"/>
      <c r="BM612" s="419"/>
      <c r="BN612" s="419"/>
      <c r="BO612" s="419"/>
      <c r="BP612" s="419"/>
      <c r="BQ612" s="419"/>
      <c r="BR612" s="419"/>
      <c r="BS612" s="37"/>
    </row>
    <row r="613" spans="1:71" s="673" customFormat="1" ht="15">
      <c r="A613" s="388" t="s">
        <v>383</v>
      </c>
      <c r="B613" s="546"/>
      <c r="C613" s="547"/>
      <c r="D613" s="547"/>
      <c r="E613" s="419"/>
      <c r="F613" s="419"/>
      <c r="G613" s="419"/>
      <c r="H613" s="419"/>
      <c r="I613" s="419"/>
      <c r="J613" s="419"/>
      <c r="K613" s="419"/>
      <c r="L613" s="419"/>
      <c r="M613" s="419"/>
      <c r="N613" s="419"/>
      <c r="O613" s="419"/>
      <c r="P613" s="419"/>
      <c r="Q613" s="419"/>
      <c r="R613" s="419"/>
      <c r="S613" s="419"/>
      <c r="T613" s="419"/>
      <c r="U613" s="419"/>
      <c r="V613" s="419"/>
      <c r="W613" s="419"/>
      <c r="X613" s="419"/>
      <c r="Y613" s="419"/>
      <c r="Z613" s="419"/>
      <c r="AA613" s="419"/>
      <c r="AB613" s="419"/>
      <c r="AC613" s="419"/>
      <c r="AD613" s="419"/>
      <c r="AE613" s="419"/>
      <c r="AF613" s="419"/>
      <c r="AG613" s="419"/>
      <c r="AH613" s="419"/>
      <c r="AI613" s="419"/>
      <c r="AJ613" s="419"/>
      <c r="AK613" s="419"/>
      <c r="AL613" s="419"/>
      <c r="AM613" s="419"/>
      <c r="AN613" s="419"/>
      <c r="AO613" s="419"/>
      <c r="AP613" s="419"/>
      <c r="AQ613" s="419"/>
      <c r="AR613" s="419"/>
      <c r="AS613" s="419"/>
      <c r="AT613" s="419"/>
      <c r="AU613" s="419"/>
      <c r="AV613" s="419"/>
      <c r="AW613" s="419"/>
      <c r="AX613" s="419"/>
      <c r="AY613" s="419"/>
      <c r="AZ613" s="419"/>
      <c r="BA613" s="419"/>
      <c r="BB613" s="419"/>
      <c r="BC613" s="419"/>
      <c r="BD613" s="419"/>
      <c r="BE613" s="419"/>
      <c r="BF613" s="419"/>
      <c r="BG613" s="419"/>
      <c r="BH613" s="464"/>
      <c r="BI613" s="171"/>
      <c r="BJ613" s="171"/>
      <c r="BK613" s="171"/>
      <c r="BL613" s="171"/>
      <c r="BM613" s="171"/>
      <c r="BN613" s="171"/>
      <c r="BO613" s="171"/>
      <c r="BP613" s="419"/>
      <c r="BQ613" s="419"/>
      <c r="BR613" s="171"/>
      <c r="BS613" s="32"/>
    </row>
    <row r="614" spans="1:71" s="673" customFormat="1" ht="15">
      <c r="A614" s="389" t="s">
        <v>384</v>
      </c>
      <c r="B614" s="546"/>
      <c r="C614" s="547"/>
      <c r="D614" s="547"/>
      <c r="E614" s="419"/>
      <c r="F614" s="419"/>
      <c r="G614" s="419"/>
      <c r="H614" s="419"/>
      <c r="I614" s="419"/>
      <c r="J614" s="419"/>
      <c r="K614" s="419"/>
      <c r="L614" s="419"/>
      <c r="M614" s="419"/>
      <c r="N614" s="419"/>
      <c r="O614" s="419"/>
      <c r="P614" s="419"/>
      <c r="Q614" s="419"/>
      <c r="R614" s="419"/>
      <c r="S614" s="419"/>
      <c r="T614" s="419"/>
      <c r="U614" s="419"/>
      <c r="V614" s="419"/>
      <c r="W614" s="419"/>
      <c r="X614" s="419"/>
      <c r="Y614" s="419"/>
      <c r="Z614" s="419"/>
      <c r="AA614" s="419"/>
      <c r="AB614" s="419"/>
      <c r="AC614" s="419"/>
      <c r="AD614" s="419"/>
      <c r="AE614" s="419"/>
      <c r="AF614" s="419"/>
      <c r="AG614" s="419"/>
      <c r="AH614" s="419"/>
      <c r="AI614" s="419"/>
      <c r="AJ614" s="419"/>
      <c r="AK614" s="419"/>
      <c r="AL614" s="419"/>
      <c r="AM614" s="419"/>
      <c r="AN614" s="419"/>
      <c r="AO614" s="419"/>
      <c r="AP614" s="419"/>
      <c r="AQ614" s="419"/>
      <c r="AR614" s="419"/>
      <c r="AS614" s="419"/>
      <c r="AT614" s="419"/>
      <c r="AU614" s="419"/>
      <c r="AV614" s="419"/>
      <c r="AW614" s="419"/>
      <c r="AX614" s="419"/>
      <c r="AY614" s="419"/>
      <c r="AZ614" s="419"/>
      <c r="BA614" s="419"/>
      <c r="BB614" s="419"/>
      <c r="BC614" s="419"/>
      <c r="BD614" s="419"/>
      <c r="BE614" s="419"/>
      <c r="BF614" s="419"/>
      <c r="BG614" s="419"/>
      <c r="BH614" s="464"/>
      <c r="BI614" s="171"/>
      <c r="BJ614" s="171"/>
      <c r="BK614" s="171"/>
      <c r="BL614" s="171"/>
      <c r="BM614" s="171"/>
      <c r="BN614" s="171"/>
      <c r="BO614" s="171"/>
      <c r="BP614" s="419"/>
      <c r="BQ614" s="419"/>
      <c r="BR614" s="171"/>
      <c r="BS614" s="32"/>
    </row>
    <row r="615" spans="1:71" s="673" customFormat="1" ht="15">
      <c r="A615" s="390" t="s">
        <v>385</v>
      </c>
      <c r="B615" s="546"/>
      <c r="C615" s="547"/>
      <c r="D615" s="547"/>
      <c r="E615" s="419"/>
      <c r="F615" s="419"/>
      <c r="G615" s="419"/>
      <c r="H615" s="419"/>
      <c r="I615" s="419"/>
      <c r="J615" s="419"/>
      <c r="K615" s="419"/>
      <c r="L615" s="419"/>
      <c r="M615" s="419"/>
      <c r="N615" s="419"/>
      <c r="O615" s="419"/>
      <c r="P615" s="419"/>
      <c r="Q615" s="419"/>
      <c r="R615" s="419"/>
      <c r="S615" s="419"/>
      <c r="T615" s="419"/>
      <c r="U615" s="419"/>
      <c r="V615" s="419"/>
      <c r="W615" s="419"/>
      <c r="X615" s="419"/>
      <c r="Y615" s="419"/>
      <c r="Z615" s="419"/>
      <c r="AA615" s="419"/>
      <c r="AB615" s="419"/>
      <c r="AC615" s="419"/>
      <c r="AD615" s="419"/>
      <c r="AE615" s="419"/>
      <c r="AF615" s="419"/>
      <c r="AG615" s="419"/>
      <c r="AH615" s="419"/>
      <c r="AI615" s="419"/>
      <c r="AJ615" s="419"/>
      <c r="AK615" s="419"/>
      <c r="AL615" s="419"/>
      <c r="AM615" s="419"/>
      <c r="AN615" s="419"/>
      <c r="AO615" s="419"/>
      <c r="AP615" s="419"/>
      <c r="AQ615" s="419"/>
      <c r="AR615" s="419"/>
      <c r="AS615" s="419"/>
      <c r="AT615" s="419"/>
      <c r="AU615" s="419"/>
      <c r="AV615" s="419"/>
      <c r="AW615" s="419"/>
      <c r="AX615" s="419"/>
      <c r="AY615" s="419"/>
      <c r="AZ615" s="419"/>
      <c r="BA615" s="419"/>
      <c r="BB615" s="419"/>
      <c r="BC615" s="419"/>
      <c r="BD615" s="419"/>
      <c r="BE615" s="419"/>
      <c r="BF615" s="419"/>
      <c r="BG615" s="419"/>
      <c r="BH615" s="464"/>
      <c r="BI615" s="171"/>
      <c r="BJ615" s="171"/>
      <c r="BK615" s="171"/>
      <c r="BL615" s="171"/>
      <c r="BM615" s="171"/>
      <c r="BN615" s="171"/>
      <c r="BO615" s="171"/>
      <c r="BP615" s="419"/>
      <c r="BQ615" s="419"/>
      <c r="BR615" s="171"/>
      <c r="BS615" s="32"/>
    </row>
    <row r="616" spans="1:71" s="673" customFormat="1" ht="15">
      <c r="A616" s="454" t="s">
        <v>386</v>
      </c>
      <c r="B616" s="546"/>
      <c r="C616" s="547"/>
      <c r="D616" s="547"/>
      <c r="E616" s="419"/>
      <c r="F616" s="419"/>
      <c r="G616" s="419"/>
      <c r="H616" s="419"/>
      <c r="I616" s="419"/>
      <c r="J616" s="419"/>
      <c r="K616" s="419"/>
      <c r="L616" s="419"/>
      <c r="M616" s="419"/>
      <c r="N616" s="419"/>
      <c r="O616" s="419"/>
      <c r="P616" s="419"/>
      <c r="Q616" s="419"/>
      <c r="R616" s="419"/>
      <c r="S616" s="419"/>
      <c r="T616" s="419"/>
      <c r="U616" s="419"/>
      <c r="V616" s="419"/>
      <c r="W616" s="419"/>
      <c r="X616" s="419"/>
      <c r="Y616" s="419"/>
      <c r="Z616" s="419"/>
      <c r="AA616" s="419"/>
      <c r="AB616" s="419"/>
      <c r="AC616" s="419"/>
      <c r="AD616" s="419"/>
      <c r="AE616" s="419"/>
      <c r="AF616" s="419"/>
      <c r="AG616" s="419"/>
      <c r="AH616" s="419"/>
      <c r="AI616" s="419"/>
      <c r="AJ616" s="419"/>
      <c r="AK616" s="419"/>
      <c r="AL616" s="419"/>
      <c r="AM616" s="419"/>
      <c r="AN616" s="419"/>
      <c r="AO616" s="419"/>
      <c r="AP616" s="419"/>
      <c r="AQ616" s="419"/>
      <c r="AR616" s="419"/>
      <c r="AS616" s="419"/>
      <c r="AT616" s="419"/>
      <c r="AU616" s="419"/>
      <c r="AV616" s="419"/>
      <c r="AW616" s="419"/>
      <c r="AX616" s="419"/>
      <c r="AY616" s="419"/>
      <c r="AZ616" s="419"/>
      <c r="BA616" s="419"/>
      <c r="BB616" s="419"/>
      <c r="BC616" s="419"/>
      <c r="BD616" s="419"/>
      <c r="BE616" s="419"/>
      <c r="BF616" s="419"/>
      <c r="BG616" s="419"/>
      <c r="BH616" s="464"/>
      <c r="BI616" s="171"/>
      <c r="BJ616" s="171"/>
      <c r="BK616" s="171"/>
      <c r="BL616" s="171"/>
      <c r="BM616" s="171"/>
      <c r="BN616" s="171"/>
      <c r="BO616" s="171"/>
      <c r="BP616" s="419"/>
      <c r="BQ616" s="419"/>
      <c r="BR616" s="171"/>
      <c r="BS616" s="32"/>
    </row>
    <row r="617" spans="1:71" s="673" customFormat="1" ht="15">
      <c r="A617" s="367"/>
      <c r="B617" s="548"/>
      <c r="C617" s="547"/>
      <c r="D617" s="547"/>
      <c r="E617" s="419"/>
      <c r="F617" s="419"/>
      <c r="G617" s="419"/>
      <c r="H617" s="419"/>
      <c r="I617" s="419"/>
      <c r="J617" s="419"/>
      <c r="K617" s="419"/>
      <c r="L617" s="419"/>
      <c r="M617" s="419"/>
      <c r="N617" s="419"/>
      <c r="O617" s="419"/>
      <c r="P617" s="419"/>
      <c r="Q617" s="419"/>
      <c r="R617" s="419"/>
      <c r="S617" s="419"/>
      <c r="T617" s="419"/>
      <c r="U617" s="419"/>
      <c r="V617" s="419"/>
      <c r="W617" s="419"/>
      <c r="X617" s="419"/>
      <c r="Y617" s="419"/>
      <c r="Z617" s="419"/>
      <c r="AA617" s="419"/>
      <c r="AB617" s="419"/>
      <c r="AC617" s="419"/>
      <c r="AD617" s="419"/>
      <c r="AE617" s="419"/>
      <c r="AF617" s="419"/>
      <c r="AG617" s="419"/>
      <c r="AH617" s="419"/>
      <c r="AI617" s="419"/>
      <c r="AJ617" s="419"/>
      <c r="AK617" s="419"/>
      <c r="AL617" s="419"/>
      <c r="AM617" s="419"/>
      <c r="AN617" s="419"/>
      <c r="AO617" s="419"/>
      <c r="AP617" s="419"/>
      <c r="AQ617" s="419"/>
      <c r="AR617" s="419"/>
      <c r="AS617" s="419"/>
      <c r="AT617" s="419"/>
      <c r="AU617" s="419"/>
      <c r="AV617" s="419"/>
      <c r="AW617" s="419"/>
      <c r="AX617" s="419"/>
      <c r="AY617" s="419"/>
      <c r="AZ617" s="419"/>
      <c r="BA617" s="419"/>
      <c r="BB617" s="419"/>
      <c r="BC617" s="419"/>
      <c r="BD617" s="419"/>
      <c r="BE617" s="419"/>
      <c r="BF617" s="419"/>
      <c r="BG617" s="419"/>
      <c r="BH617" s="464"/>
      <c r="BI617" s="171"/>
      <c r="BJ617" s="171"/>
      <c r="BK617" s="171"/>
      <c r="BL617" s="171"/>
      <c r="BM617" s="171"/>
      <c r="BN617" s="171"/>
      <c r="BO617" s="171"/>
      <c r="BP617" s="419"/>
      <c r="BQ617" s="419"/>
      <c r="BR617" s="171"/>
      <c r="BS617" s="32"/>
    </row>
    <row r="618" spans="1:71" s="668" customFormat="1" ht="15">
      <c r="A618" s="394" t="s">
        <v>387</v>
      </c>
      <c r="B618" s="391"/>
      <c r="C618" s="549"/>
      <c r="D618" s="549"/>
      <c r="E618" s="549"/>
      <c r="F618" s="549"/>
      <c r="G618" s="549"/>
      <c r="H618" s="549"/>
      <c r="I618" s="549"/>
      <c r="J618" s="549"/>
      <c r="K618" s="549"/>
      <c r="L618" s="549"/>
      <c r="M618" s="549"/>
      <c r="N618" s="549"/>
      <c r="O618" s="549"/>
      <c r="P618" s="549"/>
      <c r="Q618" s="549"/>
      <c r="R618" s="549"/>
      <c r="S618" s="549"/>
      <c r="T618" s="549"/>
      <c r="U618" s="549"/>
      <c r="V618" s="549"/>
      <c r="W618" s="549"/>
      <c r="X618" s="549"/>
      <c r="Y618" s="549"/>
      <c r="Z618" s="549"/>
      <c r="AA618" s="549"/>
      <c r="AB618" s="549"/>
      <c r="AC618" s="549"/>
      <c r="AD618" s="549"/>
      <c r="AE618" s="549"/>
      <c r="AF618" s="549"/>
      <c r="AG618" s="549"/>
      <c r="AH618" s="549"/>
      <c r="AI618" s="549"/>
      <c r="AJ618" s="549"/>
      <c r="AK618" s="549"/>
      <c r="AL618" s="549"/>
      <c r="AM618" s="549"/>
      <c r="AN618" s="549"/>
      <c r="AO618" s="549"/>
      <c r="AP618" s="549"/>
      <c r="AQ618" s="549"/>
      <c r="AR618" s="549"/>
      <c r="AS618" s="549"/>
      <c r="AT618" s="549"/>
      <c r="AU618" s="549"/>
      <c r="AV618" s="549"/>
      <c r="AW618" s="549"/>
      <c r="AX618" s="549"/>
      <c r="AY618" s="549"/>
      <c r="AZ618" s="549"/>
      <c r="BA618" s="549"/>
      <c r="BB618" s="549"/>
      <c r="BC618" s="549"/>
      <c r="BD618" s="549"/>
      <c r="BE618" s="549"/>
      <c r="BF618" s="549"/>
      <c r="BG618" s="549"/>
      <c r="BH618" s="550"/>
      <c r="BI618" s="551"/>
      <c r="BJ618" s="551"/>
      <c r="BK618" s="551"/>
      <c r="BL618" s="551"/>
      <c r="BM618" s="551"/>
      <c r="BN618" s="551"/>
      <c r="BO618" s="551"/>
      <c r="BP618" s="549"/>
      <c r="BQ618" s="549"/>
      <c r="BR618" s="551"/>
      <c r="BS618" s="38"/>
    </row>
    <row r="619" spans="1:71" s="673" customFormat="1" ht="15">
      <c r="A619" s="385" t="s">
        <v>388</v>
      </c>
      <c r="B619" s="1094">
        <v>1</v>
      </c>
      <c r="C619" s="419"/>
      <c r="D619" s="547"/>
      <c r="E619" s="419"/>
      <c r="F619" s="419"/>
      <c r="G619" s="419"/>
      <c r="H619" s="419"/>
      <c r="I619" s="419"/>
      <c r="J619" s="419"/>
      <c r="K619" s="419"/>
      <c r="L619" s="419"/>
      <c r="M619" s="419"/>
      <c r="N619" s="419"/>
      <c r="O619" s="419"/>
      <c r="P619" s="419"/>
      <c r="Q619" s="419"/>
      <c r="R619" s="419"/>
      <c r="S619" s="419"/>
      <c r="T619" s="419"/>
      <c r="U619" s="419"/>
      <c r="V619" s="419"/>
      <c r="W619" s="419"/>
      <c r="X619" s="419"/>
      <c r="Y619" s="419"/>
      <c r="Z619" s="419"/>
      <c r="AA619" s="419"/>
      <c r="AB619" s="419"/>
      <c r="AC619" s="419"/>
      <c r="AD619" s="419"/>
      <c r="AE619" s="419"/>
      <c r="AF619" s="419"/>
      <c r="AG619" s="419"/>
      <c r="AH619" s="419"/>
      <c r="AI619" s="419"/>
      <c r="AJ619" s="419"/>
      <c r="AK619" s="419"/>
      <c r="AL619" s="419"/>
      <c r="AM619" s="419"/>
      <c r="AN619" s="419"/>
      <c r="AO619" s="419"/>
      <c r="AP619" s="419"/>
      <c r="AQ619" s="419"/>
      <c r="AR619" s="419"/>
      <c r="AS619" s="419"/>
      <c r="AT619" s="419"/>
      <c r="AU619" s="419"/>
      <c r="AV619" s="419"/>
      <c r="AW619" s="419"/>
      <c r="AX619" s="419"/>
      <c r="AY619" s="419"/>
      <c r="AZ619" s="419"/>
      <c r="BA619" s="419"/>
      <c r="BB619" s="419"/>
      <c r="BC619" s="419"/>
      <c r="BD619" s="419"/>
      <c r="BE619" s="419"/>
      <c r="BF619" s="419"/>
      <c r="BG619" s="419"/>
      <c r="BH619" s="464"/>
      <c r="BI619" s="171"/>
      <c r="BJ619" s="171"/>
      <c r="BK619" s="171"/>
      <c r="BL619" s="171"/>
      <c r="BM619" s="171"/>
      <c r="BN619" s="171"/>
      <c r="BO619" s="171"/>
      <c r="BP619" s="419"/>
      <c r="BQ619" s="419"/>
      <c r="BR619" s="171"/>
      <c r="BS619" s="32"/>
    </row>
    <row r="620" spans="1:71" s="673" customFormat="1" ht="15">
      <c r="A620" s="385" t="s">
        <v>389</v>
      </c>
      <c r="B620" s="1094">
        <v>2</v>
      </c>
      <c r="C620" s="419"/>
      <c r="D620" s="547"/>
      <c r="E620" s="419"/>
      <c r="F620" s="419"/>
      <c r="G620" s="419"/>
      <c r="H620" s="419"/>
      <c r="I620" s="419"/>
      <c r="J620" s="419"/>
      <c r="K620" s="419"/>
      <c r="L620" s="419"/>
      <c r="M620" s="419"/>
      <c r="N620" s="419"/>
      <c r="O620" s="419"/>
      <c r="P620" s="419"/>
      <c r="Q620" s="419"/>
      <c r="R620" s="419"/>
      <c r="S620" s="419"/>
      <c r="T620" s="419"/>
      <c r="U620" s="419"/>
      <c r="V620" s="419"/>
      <c r="W620" s="419"/>
      <c r="X620" s="419"/>
      <c r="Y620" s="419"/>
      <c r="Z620" s="419"/>
      <c r="AA620" s="419"/>
      <c r="AB620" s="419"/>
      <c r="AC620" s="419"/>
      <c r="AD620" s="419"/>
      <c r="AE620" s="419"/>
      <c r="AF620" s="419"/>
      <c r="AG620" s="419"/>
      <c r="AH620" s="419"/>
      <c r="AI620" s="419"/>
      <c r="AJ620" s="419"/>
      <c r="AK620" s="419"/>
      <c r="AL620" s="419"/>
      <c r="AM620" s="419"/>
      <c r="AN620" s="419"/>
      <c r="AO620" s="419"/>
      <c r="AP620" s="419"/>
      <c r="AQ620" s="419"/>
      <c r="AR620" s="419"/>
      <c r="AS620" s="419"/>
      <c r="AT620" s="419"/>
      <c r="AU620" s="419"/>
      <c r="AV620" s="419"/>
      <c r="AW620" s="419"/>
      <c r="AX620" s="419"/>
      <c r="AY620" s="419"/>
      <c r="AZ620" s="419"/>
      <c r="BA620" s="419"/>
      <c r="BB620" s="419"/>
      <c r="BC620" s="419"/>
      <c r="BD620" s="419"/>
      <c r="BE620" s="419"/>
      <c r="BF620" s="419"/>
      <c r="BG620" s="419"/>
      <c r="BH620" s="464"/>
      <c r="BI620" s="171"/>
      <c r="BJ620" s="171"/>
      <c r="BK620" s="171"/>
      <c r="BL620" s="171"/>
      <c r="BM620" s="171"/>
      <c r="BN620" s="171"/>
      <c r="BO620" s="171"/>
      <c r="BP620" s="419"/>
      <c r="BQ620" s="419"/>
      <c r="BR620" s="171"/>
      <c r="BS620" s="32"/>
    </row>
    <row r="621" spans="1:71" s="673" customFormat="1" ht="15">
      <c r="A621" s="385" t="s">
        <v>256</v>
      </c>
      <c r="B621" s="1094">
        <v>3</v>
      </c>
      <c r="C621" s="419"/>
      <c r="D621" s="547"/>
      <c r="E621" s="419"/>
      <c r="F621" s="419"/>
      <c r="G621" s="419"/>
      <c r="H621" s="419"/>
      <c r="I621" s="419"/>
      <c r="J621" s="419"/>
      <c r="K621" s="419"/>
      <c r="L621" s="419"/>
      <c r="M621" s="419"/>
      <c r="N621" s="419"/>
      <c r="O621" s="419"/>
      <c r="P621" s="419"/>
      <c r="Q621" s="419"/>
      <c r="R621" s="419"/>
      <c r="S621" s="419"/>
      <c r="T621" s="419"/>
      <c r="U621" s="419"/>
      <c r="V621" s="419"/>
      <c r="W621" s="419"/>
      <c r="X621" s="419"/>
      <c r="Y621" s="419"/>
      <c r="Z621" s="419"/>
      <c r="AA621" s="419"/>
      <c r="AB621" s="419"/>
      <c r="AC621" s="419"/>
      <c r="AD621" s="419"/>
      <c r="AE621" s="419"/>
      <c r="AF621" s="419"/>
      <c r="AG621" s="419"/>
      <c r="AH621" s="419"/>
      <c r="AI621" s="419"/>
      <c r="AJ621" s="419"/>
      <c r="AK621" s="419"/>
      <c r="AL621" s="419"/>
      <c r="AM621" s="419"/>
      <c r="AN621" s="419"/>
      <c r="AO621" s="419"/>
      <c r="AP621" s="419"/>
      <c r="AQ621" s="419"/>
      <c r="AR621" s="419"/>
      <c r="AS621" s="419"/>
      <c r="AT621" s="419"/>
      <c r="AU621" s="419"/>
      <c r="AV621" s="419"/>
      <c r="AW621" s="419"/>
      <c r="AX621" s="419"/>
      <c r="AY621" s="419"/>
      <c r="AZ621" s="419"/>
      <c r="BA621" s="419"/>
      <c r="BB621" s="419"/>
      <c r="BC621" s="419"/>
      <c r="BD621" s="419"/>
      <c r="BE621" s="419"/>
      <c r="BF621" s="419"/>
      <c r="BG621" s="419"/>
      <c r="BH621" s="464"/>
      <c r="BI621" s="419"/>
      <c r="BJ621" s="419"/>
      <c r="BK621" s="419"/>
      <c r="BL621" s="419"/>
      <c r="BM621" s="419"/>
      <c r="BN621" s="419"/>
      <c r="BO621" s="419"/>
      <c r="BP621" s="419"/>
      <c r="BQ621" s="419"/>
      <c r="BR621" s="419"/>
      <c r="BS621" s="32"/>
    </row>
    <row r="622" spans="1:71" s="673" customFormat="1" ht="15">
      <c r="A622" s="386" t="s">
        <v>597</v>
      </c>
      <c r="B622" s="1095">
        <v>4</v>
      </c>
      <c r="C622" s="419"/>
      <c r="D622" s="547"/>
      <c r="E622" s="419"/>
      <c r="F622" s="419"/>
      <c r="G622" s="419"/>
      <c r="H622" s="419"/>
      <c r="I622" s="419"/>
      <c r="J622" s="419"/>
      <c r="K622" s="419"/>
      <c r="L622" s="419"/>
      <c r="M622" s="419"/>
      <c r="N622" s="419"/>
      <c r="O622" s="419"/>
      <c r="P622" s="419"/>
      <c r="Q622" s="419"/>
      <c r="R622" s="419"/>
      <c r="S622" s="419"/>
      <c r="T622" s="419"/>
      <c r="U622" s="419"/>
      <c r="V622" s="419"/>
      <c r="W622" s="419"/>
      <c r="X622" s="419"/>
      <c r="Y622" s="419"/>
      <c r="Z622" s="419"/>
      <c r="AA622" s="419"/>
      <c r="AB622" s="419"/>
      <c r="AC622" s="419"/>
      <c r="AD622" s="419"/>
      <c r="AE622" s="419"/>
      <c r="AF622" s="419"/>
      <c r="AG622" s="419"/>
      <c r="AH622" s="419"/>
      <c r="AI622" s="419"/>
      <c r="AJ622" s="419"/>
      <c r="AK622" s="419"/>
      <c r="AL622" s="419"/>
      <c r="AM622" s="419"/>
      <c r="AN622" s="419"/>
      <c r="AO622" s="419"/>
      <c r="AP622" s="419"/>
      <c r="AQ622" s="419"/>
      <c r="AR622" s="419"/>
      <c r="AS622" s="419"/>
      <c r="AT622" s="419"/>
      <c r="AU622" s="419"/>
      <c r="AV622" s="419"/>
      <c r="AW622" s="419"/>
      <c r="AX622" s="419"/>
      <c r="AY622" s="419"/>
      <c r="AZ622" s="419"/>
      <c r="BA622" s="419"/>
      <c r="BB622" s="419"/>
      <c r="BC622" s="419"/>
      <c r="BD622" s="419"/>
      <c r="BE622" s="419"/>
      <c r="BF622" s="419"/>
      <c r="BG622" s="419"/>
      <c r="BH622" s="464"/>
      <c r="BI622" s="419"/>
      <c r="BJ622" s="419"/>
      <c r="BK622" s="419"/>
      <c r="BL622" s="419"/>
      <c r="BM622" s="419"/>
      <c r="BN622" s="419"/>
      <c r="BO622" s="419"/>
      <c r="BP622" s="419"/>
      <c r="BQ622" s="419"/>
      <c r="BR622" s="419"/>
      <c r="BS622" s="32"/>
    </row>
    <row r="623" spans="1:71" s="673" customFormat="1" ht="15">
      <c r="A623" s="552"/>
      <c r="B623" s="553"/>
      <c r="C623" s="547"/>
      <c r="D623" s="547"/>
      <c r="E623" s="419"/>
      <c r="F623" s="419"/>
      <c r="G623" s="419"/>
      <c r="H623" s="419"/>
      <c r="I623" s="419"/>
      <c r="J623" s="419"/>
      <c r="K623" s="419"/>
      <c r="L623" s="419"/>
      <c r="M623" s="419"/>
      <c r="N623" s="419"/>
      <c r="O623" s="419"/>
      <c r="P623" s="419"/>
      <c r="Q623" s="419"/>
      <c r="R623" s="419"/>
      <c r="S623" s="419"/>
      <c r="T623" s="419"/>
      <c r="U623" s="419"/>
      <c r="V623" s="419"/>
      <c r="W623" s="419"/>
      <c r="X623" s="419"/>
      <c r="Y623" s="419"/>
      <c r="Z623" s="419"/>
      <c r="AA623" s="419"/>
      <c r="AB623" s="419"/>
      <c r="AC623" s="419"/>
      <c r="AD623" s="419"/>
      <c r="AE623" s="419"/>
      <c r="AF623" s="419"/>
      <c r="AG623" s="419"/>
      <c r="AH623" s="419"/>
      <c r="AI623" s="419"/>
      <c r="AJ623" s="419"/>
      <c r="AK623" s="419"/>
      <c r="AL623" s="419"/>
      <c r="AM623" s="419"/>
      <c r="AN623" s="419"/>
      <c r="AO623" s="419"/>
      <c r="AP623" s="419"/>
      <c r="AQ623" s="419"/>
      <c r="AR623" s="419"/>
      <c r="AS623" s="419"/>
      <c r="AT623" s="419"/>
      <c r="AU623" s="419"/>
      <c r="AV623" s="419"/>
      <c r="AW623" s="419"/>
      <c r="AX623" s="419"/>
      <c r="AY623" s="419"/>
      <c r="AZ623" s="419"/>
      <c r="BA623" s="419"/>
      <c r="BB623" s="419"/>
      <c r="BC623" s="419"/>
      <c r="BD623" s="419"/>
      <c r="BE623" s="419"/>
      <c r="BF623" s="419"/>
      <c r="BG623" s="419"/>
      <c r="BH623" s="464"/>
      <c r="BI623" s="419"/>
      <c r="BJ623" s="419"/>
      <c r="BK623" s="419"/>
      <c r="BL623" s="419"/>
      <c r="BM623" s="419"/>
      <c r="BN623" s="419"/>
      <c r="BO623" s="419"/>
      <c r="BP623" s="419"/>
      <c r="BQ623" s="419"/>
      <c r="BR623" s="419"/>
      <c r="BS623" s="288"/>
    </row>
    <row r="624" spans="1:71" s="673" customFormat="1" ht="15">
      <c r="A624" s="406" t="s">
        <v>487</v>
      </c>
      <c r="B624" s="419"/>
      <c r="C624" s="547"/>
      <c r="D624" s="547"/>
      <c r="E624" s="419"/>
      <c r="F624" s="419"/>
      <c r="G624" s="419"/>
      <c r="H624" s="419"/>
      <c r="I624" s="419"/>
      <c r="J624" s="419"/>
      <c r="K624" s="419"/>
      <c r="L624" s="419"/>
      <c r="M624" s="419"/>
      <c r="N624" s="419"/>
      <c r="O624" s="419"/>
      <c r="P624" s="419"/>
      <c r="Q624" s="419"/>
      <c r="R624" s="419"/>
      <c r="S624" s="419"/>
      <c r="T624" s="419"/>
      <c r="U624" s="419"/>
      <c r="V624" s="419"/>
      <c r="W624" s="419"/>
      <c r="X624" s="419"/>
      <c r="Y624" s="419"/>
      <c r="Z624" s="419"/>
      <c r="AA624" s="419"/>
      <c r="AB624" s="419"/>
      <c r="AC624" s="419"/>
      <c r="AD624" s="419"/>
      <c r="AE624" s="419"/>
      <c r="AF624" s="419"/>
      <c r="AG624" s="419"/>
      <c r="AH624" s="419"/>
      <c r="AI624" s="419"/>
      <c r="AJ624" s="419"/>
      <c r="AK624" s="419"/>
      <c r="AL624" s="419"/>
      <c r="AM624" s="419"/>
      <c r="AN624" s="419"/>
      <c r="AO624" s="419"/>
      <c r="AP624" s="419"/>
      <c r="AQ624" s="419"/>
      <c r="AR624" s="419"/>
      <c r="AS624" s="419"/>
      <c r="AT624" s="419"/>
      <c r="AU624" s="419"/>
      <c r="AV624" s="419"/>
      <c r="AW624" s="419"/>
      <c r="AX624" s="419"/>
      <c r="AY624" s="419"/>
      <c r="AZ624" s="419"/>
      <c r="BA624" s="419"/>
      <c r="BB624" s="419"/>
      <c r="BC624" s="419"/>
      <c r="BD624" s="419"/>
      <c r="BE624" s="419"/>
      <c r="BF624" s="419"/>
      <c r="BG624" s="419"/>
      <c r="BH624" s="464"/>
      <c r="BI624" s="419"/>
      <c r="BJ624" s="419"/>
      <c r="BK624" s="419"/>
      <c r="BL624" s="419"/>
      <c r="BM624" s="419"/>
      <c r="BN624" s="419"/>
      <c r="BO624" s="419"/>
      <c r="BP624" s="419"/>
      <c r="BQ624" s="419"/>
      <c r="BR624" s="419"/>
      <c r="BS624" s="288"/>
    </row>
    <row r="625" spans="1:71" s="673" customFormat="1" ht="15">
      <c r="A625" s="407" t="str">
        <f>MO_UR_CombinedRatio</f>
        <v>Total Combined Ratio, %</v>
      </c>
      <c r="B625" s="419"/>
      <c r="C625" s="547"/>
      <c r="D625" s="547"/>
      <c r="E625" s="419"/>
      <c r="F625" s="419"/>
      <c r="G625" s="419"/>
      <c r="H625" s="419"/>
      <c r="I625" s="419"/>
      <c r="J625" s="419"/>
      <c r="K625" s="419"/>
      <c r="L625" s="419"/>
      <c r="M625" s="419"/>
      <c r="N625" s="419"/>
      <c r="O625" s="419"/>
      <c r="P625" s="419"/>
      <c r="Q625" s="419"/>
      <c r="R625" s="419"/>
      <c r="S625" s="419"/>
      <c r="T625" s="419"/>
      <c r="U625" s="419"/>
      <c r="V625" s="419"/>
      <c r="W625" s="419"/>
      <c r="X625" s="419"/>
      <c r="Y625" s="419"/>
      <c r="Z625" s="419"/>
      <c r="AA625" s="419"/>
      <c r="AB625" s="419"/>
      <c r="AC625" s="419"/>
      <c r="AD625" s="419"/>
      <c r="AE625" s="419"/>
      <c r="AF625" s="419"/>
      <c r="AG625" s="419"/>
      <c r="AH625" s="419"/>
      <c r="AI625" s="419"/>
      <c r="AJ625" s="419"/>
      <c r="AK625" s="419"/>
      <c r="AL625" s="419"/>
      <c r="AM625" s="419"/>
      <c r="AN625" s="419"/>
      <c r="AO625" s="419"/>
      <c r="AP625" s="419"/>
      <c r="AQ625" s="419"/>
      <c r="AR625" s="419"/>
      <c r="AS625" s="419"/>
      <c r="AT625" s="419"/>
      <c r="AU625" s="419"/>
      <c r="AV625" s="419"/>
      <c r="AW625" s="419"/>
      <c r="AX625" s="419"/>
      <c r="AY625" s="419"/>
      <c r="AZ625" s="419"/>
      <c r="BA625" s="419"/>
      <c r="BB625" s="419"/>
      <c r="BC625" s="419"/>
      <c r="BD625" s="419"/>
      <c r="BE625" s="419"/>
      <c r="BF625" s="419"/>
      <c r="BG625" s="419"/>
      <c r="BH625" s="464"/>
      <c r="BI625" s="419"/>
      <c r="BJ625" s="419"/>
      <c r="BK625" s="419"/>
      <c r="BL625" s="419"/>
      <c r="BM625" s="419"/>
      <c r="BN625" s="419"/>
      <c r="BO625" s="419"/>
      <c r="BP625" s="419"/>
      <c r="BQ625" s="419"/>
      <c r="BR625" s="419"/>
      <c r="BS625" s="288"/>
    </row>
    <row r="626" spans="1:71" s="673" customFormat="1" ht="15">
      <c r="A626" s="407" t="str">
        <f>MO_RIS_EPS_WAD_Adj</f>
        <v>Core Net Operating Earnings Per Share - WAD</v>
      </c>
      <c r="B626" s="419"/>
      <c r="C626" s="547"/>
      <c r="D626" s="547"/>
      <c r="E626" s="419"/>
      <c r="F626" s="419"/>
      <c r="G626" s="419"/>
      <c r="H626" s="419"/>
      <c r="I626" s="419"/>
      <c r="J626" s="419"/>
      <c r="K626" s="419"/>
      <c r="L626" s="419"/>
      <c r="M626" s="419"/>
      <c r="N626" s="419"/>
      <c r="O626" s="419"/>
      <c r="P626" s="419"/>
      <c r="Q626" s="419"/>
      <c r="R626" s="419"/>
      <c r="S626" s="419"/>
      <c r="T626" s="419"/>
      <c r="U626" s="419"/>
      <c r="V626" s="419"/>
      <c r="W626" s="419"/>
      <c r="X626" s="419"/>
      <c r="Y626" s="419"/>
      <c r="Z626" s="419"/>
      <c r="AA626" s="419"/>
      <c r="AB626" s="419"/>
      <c r="AC626" s="419"/>
      <c r="AD626" s="419"/>
      <c r="AE626" s="419"/>
      <c r="AF626" s="419"/>
      <c r="AG626" s="419"/>
      <c r="AH626" s="419"/>
      <c r="AI626" s="419"/>
      <c r="AJ626" s="419"/>
      <c r="AK626" s="419"/>
      <c r="AL626" s="419"/>
      <c r="AM626" s="419"/>
      <c r="AN626" s="419"/>
      <c r="AO626" s="419"/>
      <c r="AP626" s="419"/>
      <c r="AQ626" s="419"/>
      <c r="AR626" s="419"/>
      <c r="AS626" s="419"/>
      <c r="AT626" s="419"/>
      <c r="AU626" s="419"/>
      <c r="AV626" s="419"/>
      <c r="AW626" s="419"/>
      <c r="AX626" s="419"/>
      <c r="AY626" s="419"/>
      <c r="AZ626" s="419"/>
      <c r="BA626" s="419"/>
      <c r="BB626" s="419"/>
      <c r="BC626" s="419"/>
      <c r="BD626" s="419"/>
      <c r="BE626" s="419"/>
      <c r="BF626" s="419"/>
      <c r="BG626" s="419"/>
      <c r="BH626" s="464"/>
      <c r="BI626" s="419"/>
      <c r="BJ626" s="419"/>
      <c r="BK626" s="419"/>
      <c r="BL626" s="419"/>
      <c r="BM626" s="419"/>
      <c r="BN626" s="419"/>
      <c r="BO626" s="419"/>
      <c r="BP626" s="419"/>
      <c r="BQ626" s="419"/>
      <c r="BR626" s="419"/>
      <c r="BS626" s="288"/>
    </row>
    <row r="627" spans="1:71" s="673" customFormat="1" ht="15">
      <c r="A627" s="407" t="str">
        <f>MO_BSS_ROE</f>
        <v>Return on Average Common Equity, %</v>
      </c>
      <c r="B627" s="419"/>
      <c r="C627" s="547"/>
      <c r="D627" s="547"/>
      <c r="E627" s="419"/>
      <c r="F627" s="419"/>
      <c r="G627" s="419"/>
      <c r="H627" s="419"/>
      <c r="I627" s="419"/>
      <c r="J627" s="419"/>
      <c r="K627" s="419"/>
      <c r="L627" s="419"/>
      <c r="M627" s="419"/>
      <c r="N627" s="419"/>
      <c r="O627" s="419"/>
      <c r="P627" s="419"/>
      <c r="Q627" s="419"/>
      <c r="R627" s="419"/>
      <c r="S627" s="419"/>
      <c r="T627" s="419"/>
      <c r="U627" s="419"/>
      <c r="V627" s="419"/>
      <c r="W627" s="419"/>
      <c r="X627" s="419"/>
      <c r="Y627" s="419"/>
      <c r="Z627" s="419"/>
      <c r="AA627" s="419"/>
      <c r="AB627" s="419"/>
      <c r="AC627" s="419"/>
      <c r="AD627" s="419"/>
      <c r="AE627" s="419"/>
      <c r="AF627" s="419"/>
      <c r="AG627" s="419"/>
      <c r="AH627" s="419"/>
      <c r="AI627" s="419"/>
      <c r="AJ627" s="419"/>
      <c r="AK627" s="419"/>
      <c r="AL627" s="419"/>
      <c r="AM627" s="419"/>
      <c r="AN627" s="419"/>
      <c r="AO627" s="419"/>
      <c r="AP627" s="419"/>
      <c r="AQ627" s="419"/>
      <c r="AR627" s="419"/>
      <c r="AS627" s="419"/>
      <c r="AT627" s="419"/>
      <c r="AU627" s="419"/>
      <c r="AV627" s="419"/>
      <c r="AW627" s="419"/>
      <c r="AX627" s="419"/>
      <c r="AY627" s="419"/>
      <c r="AZ627" s="419"/>
      <c r="BA627" s="419"/>
      <c r="BB627" s="419"/>
      <c r="BC627" s="419"/>
      <c r="BD627" s="419"/>
      <c r="BE627" s="419"/>
      <c r="BF627" s="419"/>
      <c r="BG627" s="419"/>
      <c r="BH627" s="464"/>
      <c r="BI627" s="419"/>
      <c r="BJ627" s="419"/>
      <c r="BK627" s="419"/>
      <c r="BL627" s="419"/>
      <c r="BM627" s="419"/>
      <c r="BN627" s="419"/>
      <c r="BO627" s="419"/>
      <c r="BP627" s="419"/>
      <c r="BQ627" s="419"/>
      <c r="BR627" s="419"/>
      <c r="BS627" s="288"/>
    </row>
    <row r="628" spans="1:71" s="673" customFormat="1" ht="15">
      <c r="A628" s="407" t="str">
        <f>MO_BSS_BVPS</f>
        <v>Book Value per Common Share</v>
      </c>
      <c r="B628" s="419"/>
      <c r="C628" s="547"/>
      <c r="D628" s="547"/>
      <c r="E628" s="419"/>
      <c r="F628" s="419"/>
      <c r="G628" s="419"/>
      <c r="H628" s="419"/>
      <c r="I628" s="419"/>
      <c r="J628" s="419"/>
      <c r="K628" s="419"/>
      <c r="L628" s="419"/>
      <c r="M628" s="419"/>
      <c r="N628" s="419"/>
      <c r="O628" s="419"/>
      <c r="P628" s="419"/>
      <c r="Q628" s="419"/>
      <c r="R628" s="419"/>
      <c r="S628" s="419"/>
      <c r="T628" s="419"/>
      <c r="U628" s="419"/>
      <c r="V628" s="419"/>
      <c r="W628" s="419"/>
      <c r="X628" s="419"/>
      <c r="Y628" s="419"/>
      <c r="Z628" s="419"/>
      <c r="AA628" s="419"/>
      <c r="AB628" s="419"/>
      <c r="AC628" s="419"/>
      <c r="AD628" s="419"/>
      <c r="AE628" s="419"/>
      <c r="AF628" s="419"/>
      <c r="AG628" s="419"/>
      <c r="AH628" s="419"/>
      <c r="AI628" s="419"/>
      <c r="AJ628" s="419"/>
      <c r="AK628" s="419"/>
      <c r="AL628" s="419"/>
      <c r="AM628" s="419"/>
      <c r="AN628" s="419"/>
      <c r="AO628" s="419"/>
      <c r="AP628" s="419"/>
      <c r="AQ628" s="419"/>
      <c r="AR628" s="419"/>
      <c r="AS628" s="419"/>
      <c r="AT628" s="419"/>
      <c r="AU628" s="419"/>
      <c r="AV628" s="419"/>
      <c r="AW628" s="419"/>
      <c r="AX628" s="419"/>
      <c r="AY628" s="419"/>
      <c r="AZ628" s="419"/>
      <c r="BA628" s="419"/>
      <c r="BB628" s="419"/>
      <c r="BC628" s="419"/>
      <c r="BD628" s="419"/>
      <c r="BE628" s="419"/>
      <c r="BF628" s="419"/>
      <c r="BG628" s="419"/>
      <c r="BH628" s="464"/>
      <c r="BI628" s="419"/>
      <c r="BJ628" s="419"/>
      <c r="BK628" s="419"/>
      <c r="BL628" s="419"/>
      <c r="BM628" s="419"/>
      <c r="BN628" s="419"/>
      <c r="BO628" s="419"/>
      <c r="BP628" s="419"/>
      <c r="BQ628" s="419"/>
      <c r="BR628" s="419"/>
      <c r="BS628" s="288"/>
    </row>
    <row r="629" spans="1:71" s="673" customFormat="1" ht="15">
      <c r="A629" s="407" t="str">
        <f>MO_VA_P_ToE</f>
        <v>P/E - EoP</v>
      </c>
      <c r="B629" s="419"/>
      <c r="C629" s="547"/>
      <c r="D629" s="547"/>
      <c r="E629" s="419"/>
      <c r="F629" s="419"/>
      <c r="G629" s="419"/>
      <c r="H629" s="419"/>
      <c r="I629" s="419"/>
      <c r="J629" s="419"/>
      <c r="K629" s="419"/>
      <c r="L629" s="419"/>
      <c r="M629" s="419"/>
      <c r="N629" s="419"/>
      <c r="O629" s="419"/>
      <c r="P629" s="419"/>
      <c r="Q629" s="419"/>
      <c r="R629" s="419"/>
      <c r="S629" s="419"/>
      <c r="T629" s="419"/>
      <c r="U629" s="419"/>
      <c r="V629" s="419"/>
      <c r="W629" s="419"/>
      <c r="X629" s="419"/>
      <c r="Y629" s="419"/>
      <c r="Z629" s="419"/>
      <c r="AA629" s="419"/>
      <c r="AB629" s="419"/>
      <c r="AC629" s="419"/>
      <c r="AD629" s="419"/>
      <c r="AE629" s="419"/>
      <c r="AF629" s="419"/>
      <c r="AG629" s="419"/>
      <c r="AH629" s="419"/>
      <c r="AI629" s="419"/>
      <c r="AJ629" s="419"/>
      <c r="AK629" s="419"/>
      <c r="AL629" s="419"/>
      <c r="AM629" s="419"/>
      <c r="AN629" s="419"/>
      <c r="AO629" s="419"/>
      <c r="AP629" s="419"/>
      <c r="AQ629" s="419"/>
      <c r="AR629" s="419"/>
      <c r="AS629" s="419"/>
      <c r="AT629" s="419"/>
      <c r="AU629" s="419"/>
      <c r="AV629" s="419"/>
      <c r="AW629" s="419"/>
      <c r="AX629" s="419"/>
      <c r="AY629" s="419"/>
      <c r="AZ629" s="419"/>
      <c r="BA629" s="419"/>
      <c r="BB629" s="419"/>
      <c r="BC629" s="419"/>
      <c r="BD629" s="419"/>
      <c r="BE629" s="419"/>
      <c r="BF629" s="419"/>
      <c r="BG629" s="419"/>
      <c r="BH629" s="464"/>
      <c r="BI629" s="419"/>
      <c r="BJ629" s="419"/>
      <c r="BK629" s="419"/>
      <c r="BL629" s="419"/>
      <c r="BM629" s="419"/>
      <c r="BN629" s="419"/>
      <c r="BO629" s="419"/>
      <c r="BP629" s="419"/>
      <c r="BQ629" s="419"/>
      <c r="BR629" s="419"/>
      <c r="BS629" s="288"/>
    </row>
    <row r="630" spans="1:71" s="673" customFormat="1" ht="15">
      <c r="A630" s="407" t="str">
        <f>MO_VA_P_ToB</f>
        <v>P/B - EoP</v>
      </c>
      <c r="B630" s="419"/>
      <c r="C630" s="547"/>
      <c r="D630" s="547"/>
      <c r="E630" s="419"/>
      <c r="F630" s="419"/>
      <c r="G630" s="419"/>
      <c r="H630" s="419"/>
      <c r="I630" s="419"/>
      <c r="J630" s="419"/>
      <c r="K630" s="419"/>
      <c r="L630" s="419"/>
      <c r="M630" s="419"/>
      <c r="N630" s="419"/>
      <c r="O630" s="419"/>
      <c r="P630" s="419"/>
      <c r="Q630" s="419"/>
      <c r="R630" s="419"/>
      <c r="S630" s="419"/>
      <c r="T630" s="419"/>
      <c r="U630" s="419"/>
      <c r="V630" s="419"/>
      <c r="W630" s="419"/>
      <c r="X630" s="419"/>
      <c r="Y630" s="419"/>
      <c r="Z630" s="419"/>
      <c r="AA630" s="419"/>
      <c r="AB630" s="419"/>
      <c r="AC630" s="419"/>
      <c r="AD630" s="419"/>
      <c r="AE630" s="419"/>
      <c r="AF630" s="419"/>
      <c r="AG630" s="419"/>
      <c r="AH630" s="419"/>
      <c r="AI630" s="419"/>
      <c r="AJ630" s="419"/>
      <c r="AK630" s="419"/>
      <c r="AL630" s="419"/>
      <c r="AM630" s="419"/>
      <c r="AN630" s="419"/>
      <c r="AO630" s="419"/>
      <c r="AP630" s="419"/>
      <c r="AQ630" s="419"/>
      <c r="AR630" s="419"/>
      <c r="AS630" s="419"/>
      <c r="AT630" s="419"/>
      <c r="AU630" s="419"/>
      <c r="AV630" s="419"/>
      <c r="AW630" s="419"/>
      <c r="AX630" s="419"/>
      <c r="AY630" s="419"/>
      <c r="AZ630" s="419"/>
      <c r="BA630" s="419"/>
      <c r="BB630" s="419"/>
      <c r="BC630" s="419"/>
      <c r="BD630" s="419"/>
      <c r="BE630" s="419"/>
      <c r="BF630" s="419"/>
      <c r="BG630" s="419"/>
      <c r="BH630" s="464"/>
      <c r="BI630" s="419"/>
      <c r="BJ630" s="419"/>
      <c r="BK630" s="419"/>
      <c r="BL630" s="419"/>
      <c r="BM630" s="419"/>
      <c r="BN630" s="419"/>
      <c r="BO630" s="419"/>
      <c r="BP630" s="419"/>
      <c r="BQ630" s="419"/>
      <c r="BR630" s="419"/>
      <c r="BS630" s="288"/>
    </row>
    <row r="631" spans="1:71" s="673" customFormat="1" ht="15">
      <c r="A631" s="554"/>
      <c r="B631" s="419"/>
      <c r="C631" s="547"/>
      <c r="D631" s="547"/>
      <c r="E631" s="419"/>
      <c r="F631" s="419"/>
      <c r="G631" s="419"/>
      <c r="H631" s="419"/>
      <c r="I631" s="419"/>
      <c r="J631" s="419"/>
      <c r="K631" s="419"/>
      <c r="L631" s="419"/>
      <c r="M631" s="419"/>
      <c r="N631" s="419"/>
      <c r="O631" s="419"/>
      <c r="P631" s="419"/>
      <c r="Q631" s="419"/>
      <c r="R631" s="419"/>
      <c r="S631" s="419"/>
      <c r="T631" s="419"/>
      <c r="U631" s="419"/>
      <c r="V631" s="419"/>
      <c r="W631" s="419"/>
      <c r="X631" s="419"/>
      <c r="Y631" s="419"/>
      <c r="Z631" s="419"/>
      <c r="AA631" s="419"/>
      <c r="AB631" s="419"/>
      <c r="AC631" s="419"/>
      <c r="AD631" s="419"/>
      <c r="AE631" s="419"/>
      <c r="AF631" s="419"/>
      <c r="AG631" s="419"/>
      <c r="AH631" s="419"/>
      <c r="AI631" s="419"/>
      <c r="AJ631" s="419"/>
      <c r="AK631" s="419"/>
      <c r="AL631" s="419"/>
      <c r="AM631" s="419"/>
      <c r="AN631" s="419"/>
      <c r="AO631" s="419"/>
      <c r="AP631" s="419"/>
      <c r="AQ631" s="419"/>
      <c r="AR631" s="419"/>
      <c r="AS631" s="419"/>
      <c r="AT631" s="419"/>
      <c r="AU631" s="419"/>
      <c r="AV631" s="419"/>
      <c r="AW631" s="419"/>
      <c r="AX631" s="419"/>
      <c r="AY631" s="419"/>
      <c r="AZ631" s="419"/>
      <c r="BA631" s="419"/>
      <c r="BB631" s="419"/>
      <c r="BC631" s="419"/>
      <c r="BD631" s="419"/>
      <c r="BE631" s="419"/>
      <c r="BF631" s="419"/>
      <c r="BG631" s="419"/>
      <c r="BH631" s="464"/>
      <c r="BI631" s="419"/>
      <c r="BJ631" s="419"/>
      <c r="BK631" s="419"/>
      <c r="BL631" s="419"/>
      <c r="BM631" s="419"/>
      <c r="BN631" s="419"/>
      <c r="BO631" s="419"/>
      <c r="BP631" s="419"/>
      <c r="BQ631" s="419"/>
      <c r="BR631" s="419"/>
      <c r="BS631" s="288"/>
    </row>
    <row r="632" spans="1:71" s="673" customFormat="1" ht="15">
      <c r="A632" s="769"/>
      <c r="B632" s="419"/>
      <c r="C632" s="547"/>
      <c r="D632" s="547"/>
      <c r="E632" s="419"/>
      <c r="F632" s="419"/>
      <c r="G632" s="419"/>
      <c r="H632" s="419"/>
      <c r="I632" s="419"/>
      <c r="J632" s="419"/>
      <c r="K632" s="419"/>
      <c r="L632" s="419"/>
      <c r="M632" s="419"/>
      <c r="N632" s="419"/>
      <c r="O632" s="419"/>
      <c r="P632" s="419"/>
      <c r="Q632" s="419"/>
      <c r="R632" s="419"/>
      <c r="S632" s="419"/>
      <c r="T632" s="419"/>
      <c r="U632" s="419"/>
      <c r="V632" s="419"/>
      <c r="W632" s="419"/>
      <c r="X632" s="419"/>
      <c r="Y632" s="419"/>
      <c r="Z632" s="419"/>
      <c r="AA632" s="419"/>
      <c r="AB632" s="419"/>
      <c r="AC632" s="419"/>
      <c r="AD632" s="419"/>
      <c r="AE632" s="419"/>
      <c r="AF632" s="419"/>
      <c r="AG632" s="419"/>
      <c r="AH632" s="419"/>
      <c r="AI632" s="419"/>
      <c r="AJ632" s="419"/>
      <c r="AK632" s="419"/>
      <c r="AL632" s="419"/>
      <c r="AM632" s="419"/>
      <c r="AN632" s="419"/>
      <c r="AO632" s="419"/>
      <c r="AP632" s="419"/>
      <c r="AQ632" s="419"/>
      <c r="AR632" s="419"/>
      <c r="AS632" s="419"/>
      <c r="AT632" s="419"/>
      <c r="AU632" s="419"/>
      <c r="AV632" s="419"/>
      <c r="AW632" s="419"/>
      <c r="AX632" s="419"/>
      <c r="AY632" s="419"/>
      <c r="AZ632" s="419"/>
      <c r="BA632" s="419"/>
      <c r="BB632" s="419"/>
      <c r="BC632" s="419"/>
      <c r="BD632" s="419"/>
      <c r="BE632" s="419"/>
      <c r="BF632" s="419"/>
      <c r="BG632" s="419"/>
      <c r="BH632" s="464"/>
      <c r="BI632" s="419"/>
      <c r="BJ632" s="419"/>
      <c r="BK632" s="419"/>
      <c r="BL632" s="419"/>
      <c r="BM632" s="419"/>
      <c r="BN632" s="419"/>
      <c r="BO632" s="419"/>
      <c r="BP632" s="419"/>
      <c r="BQ632" s="419"/>
      <c r="BR632" s="419"/>
      <c r="BS632" s="288"/>
    </row>
    <row r="633" spans="1:71" s="673" customFormat="1" ht="15">
      <c r="A633" s="770" t="s">
        <v>577</v>
      </c>
      <c r="B633" s="419"/>
      <c r="C633" s="547"/>
      <c r="D633" s="547"/>
      <c r="E633" s="419"/>
      <c r="F633" s="419"/>
      <c r="G633" s="419"/>
      <c r="H633" s="419"/>
      <c r="I633" s="419"/>
      <c r="J633" s="419"/>
      <c r="K633" s="419"/>
      <c r="L633" s="419"/>
      <c r="M633" s="419"/>
      <c r="N633" s="419"/>
      <c r="O633" s="419"/>
      <c r="P633" s="419"/>
      <c r="Q633" s="419"/>
      <c r="R633" s="419"/>
      <c r="S633" s="419"/>
      <c r="T633" s="419"/>
      <c r="U633" s="419"/>
      <c r="V633" s="419"/>
      <c r="W633" s="419"/>
      <c r="X633" s="419"/>
      <c r="Y633" s="419"/>
      <c r="Z633" s="419"/>
      <c r="AA633" s="419"/>
      <c r="AB633" s="419"/>
      <c r="AC633" s="419"/>
      <c r="AD633" s="419"/>
      <c r="AE633" s="419"/>
      <c r="AF633" s="419"/>
      <c r="AG633" s="419"/>
      <c r="AH633" s="419"/>
      <c r="AI633" s="419"/>
      <c r="AJ633" s="419"/>
      <c r="AK633" s="419"/>
      <c r="AL633" s="419"/>
      <c r="AM633" s="419"/>
      <c r="AN633" s="419"/>
      <c r="AO633" s="419"/>
      <c r="AP633" s="419"/>
      <c r="AQ633" s="419"/>
      <c r="AR633" s="419"/>
      <c r="AS633" s="419"/>
      <c r="AT633" s="419"/>
      <c r="AU633" s="419"/>
      <c r="AV633" s="419"/>
      <c r="AW633" s="419"/>
      <c r="AX633" s="419"/>
      <c r="AY633" s="419"/>
      <c r="AZ633" s="419"/>
      <c r="BA633" s="419"/>
      <c r="BB633" s="419"/>
      <c r="BC633" s="419"/>
      <c r="BD633" s="419"/>
      <c r="BE633" s="419"/>
      <c r="BF633" s="419"/>
      <c r="BG633" s="419"/>
      <c r="BH633" s="464"/>
      <c r="BI633" s="419"/>
      <c r="BJ633" s="419"/>
      <c r="BK633" s="419"/>
      <c r="BL633" s="419"/>
      <c r="BM633" s="419"/>
      <c r="BN633" s="419"/>
      <c r="BO633" s="419"/>
      <c r="BP633" s="419"/>
      <c r="BQ633" s="419"/>
      <c r="BR633" s="419"/>
      <c r="BS633" s="288"/>
    </row>
    <row r="634" spans="1:71" s="673" customFormat="1" ht="15">
      <c r="A634" s="771" t="s">
        <v>578</v>
      </c>
      <c r="B634" s="419"/>
      <c r="C634" s="547"/>
      <c r="D634" s="547"/>
      <c r="E634" s="419"/>
      <c r="F634" s="419"/>
      <c r="G634" s="419"/>
      <c r="H634" s="419"/>
      <c r="I634" s="419"/>
      <c r="J634" s="419"/>
      <c r="K634" s="419"/>
      <c r="L634" s="419"/>
      <c r="M634" s="419"/>
      <c r="N634" s="419"/>
      <c r="O634" s="419"/>
      <c r="P634" s="419"/>
      <c r="Q634" s="419"/>
      <c r="R634" s="419"/>
      <c r="S634" s="419"/>
      <c r="T634" s="419"/>
      <c r="U634" s="419"/>
      <c r="V634" s="419"/>
      <c r="W634" s="419"/>
      <c r="X634" s="419"/>
      <c r="Y634" s="419"/>
      <c r="Z634" s="419"/>
      <c r="AA634" s="419"/>
      <c r="AB634" s="419"/>
      <c r="AC634" s="419"/>
      <c r="AD634" s="419"/>
      <c r="AE634" s="419"/>
      <c r="AF634" s="419"/>
      <c r="AG634" s="419"/>
      <c r="AH634" s="419"/>
      <c r="AI634" s="419"/>
      <c r="AJ634" s="419"/>
      <c r="AK634" s="419"/>
      <c r="AL634" s="419"/>
      <c r="AM634" s="419"/>
      <c r="AN634" s="419"/>
      <c r="AO634" s="419"/>
      <c r="AP634" s="419"/>
      <c r="AQ634" s="419"/>
      <c r="AR634" s="419"/>
      <c r="AS634" s="419"/>
      <c r="AT634" s="419"/>
      <c r="AU634" s="419"/>
      <c r="AV634" s="419"/>
      <c r="AW634" s="419"/>
      <c r="AX634" s="419"/>
      <c r="AY634" s="419"/>
      <c r="AZ634" s="419"/>
      <c r="BA634" s="419"/>
      <c r="BB634" s="419"/>
      <c r="BC634" s="419"/>
      <c r="BD634" s="419"/>
      <c r="BE634" s="419"/>
      <c r="BF634" s="419"/>
      <c r="BG634" s="419"/>
      <c r="BH634" s="464"/>
      <c r="BI634" s="419"/>
      <c r="BJ634" s="419"/>
      <c r="BK634" s="419"/>
      <c r="BL634" s="419"/>
      <c r="BM634" s="419"/>
      <c r="BN634" s="419"/>
      <c r="BO634" s="419"/>
      <c r="BP634" s="419"/>
      <c r="BQ634" s="419"/>
      <c r="BR634" s="419"/>
      <c r="BS634" s="288"/>
    </row>
    <row r="635" spans="1:71" s="673" customFormat="1" ht="15">
      <c r="A635" s="771" t="s">
        <v>579</v>
      </c>
      <c r="B635" s="419"/>
      <c r="C635" s="547"/>
      <c r="D635" s="547"/>
      <c r="E635" s="419"/>
      <c r="F635" s="419"/>
      <c r="G635" s="419"/>
      <c r="H635" s="419"/>
      <c r="I635" s="419"/>
      <c r="J635" s="419"/>
      <c r="K635" s="419"/>
      <c r="L635" s="419"/>
      <c r="M635" s="419"/>
      <c r="N635" s="419"/>
      <c r="O635" s="419"/>
      <c r="P635" s="419"/>
      <c r="Q635" s="419"/>
      <c r="R635" s="419"/>
      <c r="S635" s="419"/>
      <c r="T635" s="419"/>
      <c r="U635" s="419"/>
      <c r="V635" s="419"/>
      <c r="W635" s="419"/>
      <c r="X635" s="419"/>
      <c r="Y635" s="419"/>
      <c r="Z635" s="419"/>
      <c r="AA635" s="419"/>
      <c r="AB635" s="419"/>
      <c r="AC635" s="419"/>
      <c r="AD635" s="419"/>
      <c r="AE635" s="419"/>
      <c r="AF635" s="419"/>
      <c r="AG635" s="419"/>
      <c r="AH635" s="419"/>
      <c r="AI635" s="419"/>
      <c r="AJ635" s="419"/>
      <c r="AK635" s="419"/>
      <c r="AL635" s="419"/>
      <c r="AM635" s="419"/>
      <c r="AN635" s="419"/>
      <c r="AO635" s="419"/>
      <c r="AP635" s="419"/>
      <c r="AQ635" s="419"/>
      <c r="AR635" s="419"/>
      <c r="AS635" s="419"/>
      <c r="AT635" s="419"/>
      <c r="AU635" s="419"/>
      <c r="AV635" s="419"/>
      <c r="AW635" s="419"/>
      <c r="AX635" s="419"/>
      <c r="AY635" s="419"/>
      <c r="AZ635" s="419"/>
      <c r="BA635" s="419"/>
      <c r="BB635" s="419"/>
      <c r="BC635" s="419"/>
      <c r="BD635" s="419"/>
      <c r="BE635" s="419"/>
      <c r="BF635" s="419"/>
      <c r="BG635" s="419"/>
      <c r="BH635" s="464"/>
      <c r="BI635" s="419"/>
      <c r="BJ635" s="419"/>
      <c r="BK635" s="419"/>
      <c r="BL635" s="419"/>
      <c r="BM635" s="419"/>
      <c r="BN635" s="419"/>
      <c r="BO635" s="419"/>
      <c r="BP635" s="419"/>
      <c r="BQ635" s="419"/>
      <c r="BR635" s="419"/>
      <c r="BS635" s="288"/>
    </row>
    <row r="636" spans="1:71" s="673" customFormat="1" ht="15">
      <c r="A636" s="771" t="s">
        <v>507</v>
      </c>
      <c r="B636" s="419"/>
      <c r="C636" s="547"/>
      <c r="D636" s="547"/>
      <c r="E636" s="419"/>
      <c r="F636" s="419"/>
      <c r="G636" s="419"/>
      <c r="H636" s="419"/>
      <c r="I636" s="419"/>
      <c r="J636" s="419"/>
      <c r="K636" s="419"/>
      <c r="L636" s="419"/>
      <c r="M636" s="419"/>
      <c r="N636" s="419"/>
      <c r="O636" s="419"/>
      <c r="P636" s="419"/>
      <c r="Q636" s="419"/>
      <c r="R636" s="419"/>
      <c r="S636" s="419"/>
      <c r="T636" s="419"/>
      <c r="U636" s="419"/>
      <c r="V636" s="419"/>
      <c r="W636" s="419"/>
      <c r="X636" s="419"/>
      <c r="Y636" s="419"/>
      <c r="Z636" s="419"/>
      <c r="AA636" s="419"/>
      <c r="AB636" s="419"/>
      <c r="AC636" s="419"/>
      <c r="AD636" s="419"/>
      <c r="AE636" s="419"/>
      <c r="AF636" s="419"/>
      <c r="AG636" s="419"/>
      <c r="AH636" s="419"/>
      <c r="AI636" s="419"/>
      <c r="AJ636" s="419"/>
      <c r="AK636" s="419"/>
      <c r="AL636" s="419"/>
      <c r="AM636" s="419"/>
      <c r="AN636" s="419"/>
      <c r="AO636" s="419"/>
      <c r="AP636" s="419"/>
      <c r="AQ636" s="419"/>
      <c r="AR636" s="419"/>
      <c r="AS636" s="419"/>
      <c r="AT636" s="419"/>
      <c r="AU636" s="419"/>
      <c r="AV636" s="419"/>
      <c r="AW636" s="419"/>
      <c r="AX636" s="419"/>
      <c r="AY636" s="419"/>
      <c r="AZ636" s="419"/>
      <c r="BA636" s="419"/>
      <c r="BB636" s="419"/>
      <c r="BC636" s="419"/>
      <c r="BD636" s="419"/>
      <c r="BE636" s="419"/>
      <c r="BF636" s="419"/>
      <c r="BG636" s="419"/>
      <c r="BH636" s="464"/>
      <c r="BI636" s="419"/>
      <c r="BJ636" s="419"/>
      <c r="BK636" s="419"/>
      <c r="BL636" s="419"/>
      <c r="BM636" s="419"/>
      <c r="BN636" s="419"/>
      <c r="BO636" s="419"/>
      <c r="BP636" s="419"/>
      <c r="BQ636" s="419"/>
      <c r="BR636" s="419"/>
      <c r="BS636" s="288"/>
    </row>
    <row r="637" spans="1:71" s="673" customFormat="1" ht="15">
      <c r="A637" s="554"/>
      <c r="B637" s="419"/>
      <c r="C637" s="547"/>
      <c r="D637" s="547"/>
      <c r="E637" s="419"/>
      <c r="F637" s="419"/>
      <c r="G637" s="419"/>
      <c r="H637" s="419"/>
      <c r="I637" s="419"/>
      <c r="J637" s="419"/>
      <c r="K637" s="419"/>
      <c r="L637" s="419"/>
      <c r="M637" s="419"/>
      <c r="N637" s="419"/>
      <c r="O637" s="419"/>
      <c r="P637" s="419"/>
      <c r="Q637" s="419"/>
      <c r="R637" s="419"/>
      <c r="S637" s="419"/>
      <c r="T637" s="419"/>
      <c r="U637" s="419"/>
      <c r="V637" s="419"/>
      <c r="W637" s="419"/>
      <c r="X637" s="419"/>
      <c r="Y637" s="419"/>
      <c r="Z637" s="419"/>
      <c r="AA637" s="419"/>
      <c r="AB637" s="419"/>
      <c r="AC637" s="419"/>
      <c r="AD637" s="419"/>
      <c r="AE637" s="419"/>
      <c r="AF637" s="419"/>
      <c r="AG637" s="419"/>
      <c r="AH637" s="419"/>
      <c r="AI637" s="419"/>
      <c r="AJ637" s="419"/>
      <c r="AK637" s="419"/>
      <c r="AL637" s="419"/>
      <c r="AM637" s="419"/>
      <c r="AN637" s="419"/>
      <c r="AO637" s="419"/>
      <c r="AP637" s="419"/>
      <c r="AQ637" s="419"/>
      <c r="AR637" s="419"/>
      <c r="AS637" s="419"/>
      <c r="AT637" s="419"/>
      <c r="AU637" s="419"/>
      <c r="AV637" s="419"/>
      <c r="AW637" s="419"/>
      <c r="AX637" s="419"/>
      <c r="AY637" s="419"/>
      <c r="AZ637" s="419"/>
      <c r="BA637" s="419"/>
      <c r="BB637" s="419"/>
      <c r="BC637" s="419"/>
      <c r="BD637" s="419"/>
      <c r="BE637" s="419"/>
      <c r="BF637" s="419"/>
      <c r="BG637" s="419"/>
      <c r="BH637" s="464"/>
      <c r="BI637" s="419"/>
      <c r="BJ637" s="419"/>
      <c r="BK637" s="419"/>
      <c r="BL637" s="419"/>
      <c r="BM637" s="419"/>
      <c r="BN637" s="419"/>
      <c r="BO637" s="419"/>
      <c r="BP637" s="419"/>
      <c r="BQ637" s="419"/>
      <c r="BR637" s="419"/>
      <c r="BS637" s="288"/>
    </row>
    <row r="638" spans="1:71" s="673" customFormat="1" ht="15">
      <c r="A638" s="543"/>
      <c r="B638" s="548"/>
      <c r="C638" s="555"/>
      <c r="D638" s="555"/>
      <c r="E638" s="548"/>
      <c r="F638" s="548"/>
      <c r="G638" s="548"/>
      <c r="H638" s="548"/>
      <c r="I638" s="548"/>
      <c r="J638" s="548"/>
      <c r="K638" s="548"/>
      <c r="L638" s="548"/>
      <c r="M638" s="548"/>
      <c r="N638" s="548"/>
      <c r="O638" s="548"/>
      <c r="P638" s="548"/>
      <c r="Q638" s="548"/>
      <c r="R638" s="548"/>
      <c r="S638" s="548"/>
      <c r="T638" s="548"/>
      <c r="U638" s="548"/>
      <c r="V638" s="548"/>
      <c r="W638" s="548"/>
      <c r="X638" s="548"/>
      <c r="Y638" s="548"/>
      <c r="Z638" s="548"/>
      <c r="AA638" s="548"/>
      <c r="AB638" s="548"/>
      <c r="AC638" s="548"/>
      <c r="AD638" s="548"/>
      <c r="AE638" s="548"/>
      <c r="AF638" s="548"/>
      <c r="AG638" s="548"/>
      <c r="AH638" s="548"/>
      <c r="AI638" s="548"/>
      <c r="AJ638" s="548"/>
      <c r="AK638" s="548"/>
      <c r="AL638" s="548"/>
      <c r="AM638" s="548"/>
      <c r="AN638" s="548"/>
      <c r="AO638" s="548"/>
      <c r="AP638" s="548"/>
      <c r="AQ638" s="548"/>
      <c r="AR638" s="548"/>
      <c r="AS638" s="548"/>
      <c r="AT638" s="548"/>
      <c r="AU638" s="548"/>
      <c r="AV638" s="548"/>
      <c r="AW638" s="548"/>
      <c r="AX638" s="548"/>
      <c r="AY638" s="548"/>
      <c r="AZ638" s="548"/>
      <c r="BA638" s="548"/>
      <c r="BB638" s="548"/>
      <c r="BC638" s="548"/>
      <c r="BD638" s="548"/>
      <c r="BE638" s="548"/>
      <c r="BF638" s="548"/>
      <c r="BG638" s="548"/>
      <c r="BH638" s="556"/>
      <c r="BI638" s="548"/>
      <c r="BJ638" s="548"/>
      <c r="BK638" s="548"/>
      <c r="BL638" s="548"/>
      <c r="BM638" s="548"/>
      <c r="BN638" s="548"/>
      <c r="BO638" s="548"/>
      <c r="BP638" s="548"/>
      <c r="BQ638" s="548"/>
      <c r="BR638" s="548"/>
      <c r="BS638" s="288"/>
    </row>
    <row r="639" spans="1:71" s="673" customFormat="1" ht="15">
      <c r="A639" s="808" t="s">
        <v>606</v>
      </c>
      <c r="B639" s="617"/>
      <c r="C639" s="804"/>
      <c r="D639" s="804"/>
      <c r="E639" s="617"/>
      <c r="F639" s="617"/>
      <c r="G639" s="617"/>
      <c r="H639" s="617"/>
      <c r="I639" s="617"/>
      <c r="J639" s="617"/>
      <c r="K639" s="617"/>
      <c r="L639" s="617"/>
      <c r="M639" s="617"/>
      <c r="N639" s="617"/>
      <c r="O639" s="617"/>
      <c r="P639" s="617"/>
      <c r="Q639" s="617"/>
      <c r="R639" s="617"/>
      <c r="S639" s="617"/>
      <c r="T639" s="617"/>
      <c r="U639" s="617"/>
      <c r="V639" s="617"/>
      <c r="W639" s="617"/>
      <c r="X639" s="617"/>
      <c r="Y639" s="617"/>
      <c r="Z639" s="617"/>
      <c r="AA639" s="617"/>
      <c r="AB639" s="617"/>
      <c r="AC639" s="617"/>
      <c r="AD639" s="617"/>
      <c r="AE639" s="617"/>
      <c r="AF639" s="617"/>
      <c r="AG639" s="617"/>
      <c r="AH639" s="617"/>
      <c r="AI639" s="617"/>
      <c r="AJ639" s="617"/>
      <c r="AK639" s="617"/>
      <c r="AL639" s="617"/>
      <c r="AM639" s="617"/>
      <c r="AN639" s="617"/>
      <c r="AO639" s="617"/>
      <c r="AP639" s="617"/>
      <c r="AQ639" s="617"/>
      <c r="AR639" s="617"/>
      <c r="AS639" s="617"/>
      <c r="AT639" s="617"/>
      <c r="AU639" s="617"/>
      <c r="AV639" s="617"/>
      <c r="AW639" s="617"/>
      <c r="AX639" s="617"/>
      <c r="AY639" s="617"/>
      <c r="AZ639" s="617"/>
      <c r="BA639" s="617"/>
      <c r="BB639" s="617"/>
      <c r="BC639" s="617"/>
      <c r="BD639" s="617"/>
      <c r="BE639" s="617"/>
      <c r="BF639" s="617"/>
      <c r="BG639" s="617"/>
      <c r="BH639" s="772"/>
      <c r="BI639" s="617"/>
      <c r="BJ639" s="617"/>
      <c r="BK639" s="617"/>
      <c r="BL639" s="617"/>
      <c r="BM639" s="617"/>
      <c r="BN639" s="617"/>
      <c r="BO639" s="617"/>
      <c r="BP639" s="617"/>
      <c r="BQ639" s="617"/>
      <c r="BR639" s="805"/>
      <c r="BS639" s="288"/>
    </row>
    <row r="640" spans="1:71" s="673" customFormat="1" ht="15">
      <c r="A640" s="809" t="s">
        <v>607</v>
      </c>
      <c r="B640" s="419"/>
      <c r="C640" s="811"/>
      <c r="D640" s="811"/>
      <c r="E640" s="812"/>
      <c r="F640" s="812"/>
      <c r="G640" s="812"/>
      <c r="H640" s="812"/>
      <c r="I640" s="812"/>
      <c r="J640" s="812"/>
      <c r="K640" s="812"/>
      <c r="L640" s="812"/>
      <c r="M640" s="812"/>
      <c r="N640" s="812"/>
      <c r="O640" s="812"/>
      <c r="P640" s="812"/>
      <c r="Q640" s="812"/>
      <c r="R640" s="812"/>
      <c r="S640" s="812"/>
      <c r="T640" s="812"/>
      <c r="U640" s="812"/>
      <c r="V640" s="812"/>
      <c r="W640" s="812"/>
      <c r="X640" s="812"/>
      <c r="Y640" s="812"/>
      <c r="Z640" s="1096">
        <v>43122</v>
      </c>
      <c r="AA640" s="1096">
        <v>43122</v>
      </c>
      <c r="AB640" s="1096">
        <v>43223</v>
      </c>
      <c r="AC640" s="1096">
        <v>43318</v>
      </c>
      <c r="AD640" s="1096">
        <v>43412</v>
      </c>
      <c r="AE640" s="812"/>
      <c r="AF640" s="812"/>
      <c r="AG640" s="1096">
        <v>43586</v>
      </c>
      <c r="AH640" s="1096">
        <v>43683</v>
      </c>
      <c r="AI640" s="1096">
        <v>43767</v>
      </c>
      <c r="AJ640" s="1096">
        <v>43887</v>
      </c>
      <c r="AK640" s="1096">
        <v>43887</v>
      </c>
      <c r="AL640" s="1096">
        <v>43963</v>
      </c>
      <c r="AM640" s="1096">
        <v>44056</v>
      </c>
      <c r="AN640" s="1096">
        <v>44132</v>
      </c>
      <c r="AO640" s="1096">
        <v>44230</v>
      </c>
      <c r="AP640" s="1096">
        <v>44230</v>
      </c>
      <c r="AQ640" s="1096">
        <v>44320</v>
      </c>
      <c r="AR640" s="1096">
        <v>44411</v>
      </c>
      <c r="AS640" s="1096">
        <v>44502</v>
      </c>
      <c r="AT640" s="1096">
        <v>44601</v>
      </c>
      <c r="AU640" s="1096">
        <v>44601</v>
      </c>
      <c r="AV640" s="1096">
        <v>44686</v>
      </c>
      <c r="AW640" s="1096">
        <v>44776</v>
      </c>
      <c r="AX640" s="1096">
        <v>44867</v>
      </c>
      <c r="AY640" s="1096">
        <v>44958</v>
      </c>
      <c r="AZ640" s="1096">
        <v>44958</v>
      </c>
      <c r="BA640" s="812"/>
      <c r="BB640" s="1096">
        <v>45140</v>
      </c>
      <c r="BC640" s="1096">
        <v>45233</v>
      </c>
      <c r="BD640" s="1096">
        <v>45328</v>
      </c>
      <c r="BE640" s="1096">
        <v>45328</v>
      </c>
      <c r="BF640" s="812"/>
      <c r="BG640" s="812"/>
      <c r="BH640" s="813"/>
      <c r="BI640" s="812"/>
      <c r="BJ640" s="812"/>
      <c r="BK640" s="812"/>
      <c r="BL640" s="812"/>
      <c r="BM640" s="812"/>
      <c r="BN640" s="812"/>
      <c r="BO640" s="812"/>
      <c r="BP640" s="812"/>
      <c r="BQ640" s="812"/>
      <c r="BR640" s="814"/>
      <c r="BS640" s="288"/>
    </row>
    <row r="641" spans="1:71" s="673" customFormat="1" ht="15">
      <c r="A641" s="809" t="s">
        <v>608</v>
      </c>
      <c r="B641" s="419"/>
      <c r="C641" s="815"/>
      <c r="D641" s="815"/>
      <c r="E641" s="816"/>
      <c r="F641" s="816"/>
      <c r="G641" s="816"/>
      <c r="H641" s="816"/>
      <c r="I641" s="816"/>
      <c r="J641" s="816"/>
      <c r="K641" s="816"/>
      <c r="L641" s="816"/>
      <c r="M641" s="816"/>
      <c r="N641" s="816"/>
      <c r="O641" s="816"/>
      <c r="P641" s="816"/>
      <c r="Q641" s="816"/>
      <c r="R641" s="816"/>
      <c r="S641" s="816"/>
      <c r="T641" s="816"/>
      <c r="U641" s="816"/>
      <c r="V641" s="816"/>
      <c r="W641" s="816"/>
      <c r="X641" s="816"/>
      <c r="Y641" s="816"/>
      <c r="Z641" s="816" t="str">
        <f>AB$5</f>
        <v>Q1-2018</v>
      </c>
      <c r="AA641" s="816" t="str">
        <f>AB$5</f>
        <v>Q1-2018</v>
      </c>
      <c r="AB641" s="816" t="str">
        <f>AC$5</f>
        <v>Q2-2018</v>
      </c>
      <c r="AC641" s="816" t="str">
        <f>AD$5</f>
        <v>Q3-2018</v>
      </c>
      <c r="AD641" s="816" t="str">
        <f>AE$5</f>
        <v>Q4-2018</v>
      </c>
      <c r="AE641" s="816" t="str">
        <f>AG$5</f>
        <v>Q1-2019</v>
      </c>
      <c r="AF641" s="816" t="str">
        <f>AG$5</f>
        <v>Q1-2019</v>
      </c>
      <c r="AG641" s="816" t="str">
        <f>AH$5</f>
        <v>Q2-2019</v>
      </c>
      <c r="AH641" s="816" t="str">
        <f>AI$5</f>
        <v>Q3-2019</v>
      </c>
      <c r="AI641" s="816" t="str">
        <f>AJ$5</f>
        <v>Q4-2019</v>
      </c>
      <c r="AJ641" s="816" t="str">
        <f>AL$5</f>
        <v>Q1-2020</v>
      </c>
      <c r="AK641" s="816" t="str">
        <f>AL$5</f>
        <v>Q1-2020</v>
      </c>
      <c r="AL641" s="816" t="str">
        <f>AM$5</f>
        <v>Q2-2020</v>
      </c>
      <c r="AM641" s="816" t="str">
        <f>AN$5</f>
        <v>Q3-2020</v>
      </c>
      <c r="AN641" s="816" t="str">
        <f>AO$5</f>
        <v>Q4-2020</v>
      </c>
      <c r="AO641" s="816" t="str">
        <f>AQ$5</f>
        <v>Q1-2021</v>
      </c>
      <c r="AP641" s="816" t="str">
        <f>AQ$5</f>
        <v>Q1-2021</v>
      </c>
      <c r="AQ641" s="816" t="str">
        <f>AR$5</f>
        <v>Q2-2021</v>
      </c>
      <c r="AR641" s="816" t="str">
        <f>AS$5</f>
        <v>Q3-2021</v>
      </c>
      <c r="AS641" s="816" t="str">
        <f>AT$5</f>
        <v>Q4-2021</v>
      </c>
      <c r="AT641" s="816" t="str">
        <f>AV$5</f>
        <v>Q1-2022</v>
      </c>
      <c r="AU641" s="816" t="str">
        <f>AV$5</f>
        <v>Q1-2022</v>
      </c>
      <c r="AV641" s="816" t="str">
        <f>AW$5</f>
        <v>Q2-2022</v>
      </c>
      <c r="AW641" s="816" t="str">
        <f>AX$5</f>
        <v>Q3-2022</v>
      </c>
      <c r="AX641" s="816" t="str">
        <f>AY$5</f>
        <v>Q4-2022</v>
      </c>
      <c r="AY641" s="816" t="str">
        <f>BA$5</f>
        <v>Q1-2023</v>
      </c>
      <c r="AZ641" s="816" t="str">
        <f>BA$5</f>
        <v>Q1-2023</v>
      </c>
      <c r="BA641" s="816" t="str">
        <f>BB$5</f>
        <v>Q2-2023</v>
      </c>
      <c r="BB641" s="816" t="str">
        <f>BC$5</f>
        <v>Q3-2023</v>
      </c>
      <c r="BC641" s="816" t="str">
        <f>BD$5</f>
        <v>Q4-2023</v>
      </c>
      <c r="BD641" s="816" t="str">
        <f>BF$5</f>
        <v>Q1-2024</v>
      </c>
      <c r="BE641" s="816" t="str">
        <f>BF$5</f>
        <v>Q1-2024</v>
      </c>
      <c r="BF641" s="816" t="str">
        <f>BG$5</f>
        <v>Q2-2024</v>
      </c>
      <c r="BG641" s="816" t="str">
        <f>BH$5</f>
        <v>Q3-2024</v>
      </c>
      <c r="BH641" s="817" t="str">
        <f>BI$5</f>
        <v>Q4-2024</v>
      </c>
      <c r="BI641" s="816"/>
      <c r="BJ641" s="816"/>
      <c r="BK641" s="816"/>
      <c r="BL641" s="816"/>
      <c r="BM641" s="816"/>
      <c r="BN641" s="816"/>
      <c r="BO641" s="816"/>
      <c r="BP641" s="816"/>
      <c r="BQ641" s="816"/>
      <c r="BR641" s="818"/>
      <c r="BS641" s="288"/>
    </row>
    <row r="642" spans="1:71" s="673" customFormat="1" ht="15">
      <c r="A642" s="810"/>
      <c r="B642" s="363"/>
      <c r="C642" s="806"/>
      <c r="D642" s="806"/>
      <c r="E642" s="363"/>
      <c r="F642" s="363"/>
      <c r="G642" s="363"/>
      <c r="H642" s="363"/>
      <c r="I642" s="363"/>
      <c r="J642" s="363"/>
      <c r="K642" s="363"/>
      <c r="L642" s="363"/>
      <c r="M642" s="363"/>
      <c r="N642" s="363"/>
      <c r="O642" s="363"/>
      <c r="P642" s="363"/>
      <c r="Q642" s="363"/>
      <c r="R642" s="363"/>
      <c r="S642" s="363"/>
      <c r="T642" s="363"/>
      <c r="U642" s="363"/>
      <c r="V642" s="363"/>
      <c r="W642" s="363"/>
      <c r="X642" s="363"/>
      <c r="Y642" s="363"/>
      <c r="Z642" s="363"/>
      <c r="AA642" s="363"/>
      <c r="AB642" s="363"/>
      <c r="AC642" s="363"/>
      <c r="AD642" s="363"/>
      <c r="AE642" s="363"/>
      <c r="AF642" s="363"/>
      <c r="AG642" s="363"/>
      <c r="AH642" s="363"/>
      <c r="AI642" s="363"/>
      <c r="AJ642" s="363"/>
      <c r="AK642" s="363"/>
      <c r="AL642" s="363"/>
      <c r="AM642" s="363"/>
      <c r="AN642" s="363"/>
      <c r="AO642" s="363"/>
      <c r="AP642" s="363"/>
      <c r="AQ642" s="363"/>
      <c r="AR642" s="363"/>
      <c r="AS642" s="363"/>
      <c r="AT642" s="363"/>
      <c r="AU642" s="363"/>
      <c r="AV642" s="363"/>
      <c r="AW642" s="363"/>
      <c r="AX642" s="363"/>
      <c r="AY642" s="363"/>
      <c r="AZ642" s="363"/>
      <c r="BA642" s="363"/>
      <c r="BB642" s="363"/>
      <c r="BC642" s="363"/>
      <c r="BD642" s="363"/>
      <c r="BE642" s="363"/>
      <c r="BF642" s="363"/>
      <c r="BG642" s="363"/>
      <c r="BH642" s="773"/>
      <c r="BI642" s="363"/>
      <c r="BJ642" s="363"/>
      <c r="BK642" s="363"/>
      <c r="BL642" s="363"/>
      <c r="BM642" s="363"/>
      <c r="BN642" s="363"/>
      <c r="BO642" s="363"/>
      <c r="BP642" s="363"/>
      <c r="BQ642" s="363"/>
      <c r="BR642" s="807"/>
      <c r="BS642" s="288"/>
    </row>
    <row r="643" spans="1:71" s="673" customFormat="1" ht="15">
      <c r="A643" s="543"/>
      <c r="B643" s="548"/>
      <c r="C643" s="555"/>
      <c r="D643" s="555"/>
      <c r="E643" s="548"/>
      <c r="F643" s="548"/>
      <c r="G643" s="548"/>
      <c r="H643" s="548"/>
      <c r="I643" s="548"/>
      <c r="J643" s="548"/>
      <c r="K643" s="548"/>
      <c r="L643" s="548"/>
      <c r="M643" s="548"/>
      <c r="N643" s="548"/>
      <c r="O643" s="548"/>
      <c r="P643" s="548"/>
      <c r="Q643" s="548"/>
      <c r="R643" s="548"/>
      <c r="S643" s="548"/>
      <c r="T643" s="548"/>
      <c r="U643" s="548"/>
      <c r="V643" s="548"/>
      <c r="W643" s="548"/>
      <c r="X643" s="548"/>
      <c r="Y643" s="548"/>
      <c r="Z643" s="548"/>
      <c r="AA643" s="548"/>
      <c r="AB643" s="548"/>
      <c r="AC643" s="548"/>
      <c r="AD643" s="548"/>
      <c r="AE643" s="548"/>
      <c r="AF643" s="548"/>
      <c r="AG643" s="548"/>
      <c r="AH643" s="548"/>
      <c r="AI643" s="548"/>
      <c r="AJ643" s="548"/>
      <c r="AK643" s="548"/>
      <c r="AL643" s="548"/>
      <c r="AM643" s="548"/>
      <c r="AN643" s="548"/>
      <c r="AO643" s="548"/>
      <c r="AP643" s="548"/>
      <c r="AQ643" s="548"/>
      <c r="AR643" s="548"/>
      <c r="AS643" s="548"/>
      <c r="AT643" s="548"/>
      <c r="AU643" s="548"/>
      <c r="AV643" s="548"/>
      <c r="AW643" s="548"/>
      <c r="AX643" s="548"/>
      <c r="AY643" s="548"/>
      <c r="AZ643" s="548"/>
      <c r="BA643" s="548"/>
      <c r="BB643" s="548"/>
      <c r="BC643" s="548"/>
      <c r="BD643" s="548"/>
      <c r="BE643" s="548"/>
      <c r="BF643" s="548"/>
      <c r="BG643" s="548"/>
      <c r="BH643" s="556"/>
      <c r="BI643" s="548"/>
      <c r="BJ643" s="548"/>
      <c r="BK643" s="548"/>
      <c r="BL643" s="548"/>
      <c r="BM643" s="548"/>
      <c r="BN643" s="548"/>
      <c r="BO643" s="548"/>
      <c r="BP643" s="548"/>
      <c r="BQ643" s="548"/>
      <c r="BR643" s="548"/>
      <c r="BS643" s="288"/>
    </row>
    <row r="644" spans="1:71" s="673" customFormat="1" ht="15">
      <c r="A644" s="808" t="s">
        <v>609</v>
      </c>
      <c r="B644" s="617"/>
      <c r="C644" s="804"/>
      <c r="D644" s="804"/>
      <c r="E644" s="617"/>
      <c r="F644" s="617"/>
      <c r="G644" s="617"/>
      <c r="H644" s="617"/>
      <c r="I644" s="617"/>
      <c r="J644" s="617"/>
      <c r="K644" s="617"/>
      <c r="L644" s="617"/>
      <c r="M644" s="617"/>
      <c r="N644" s="617"/>
      <c r="O644" s="617"/>
      <c r="P644" s="617"/>
      <c r="Q644" s="617"/>
      <c r="R644" s="617"/>
      <c r="S644" s="617"/>
      <c r="T644" s="617"/>
      <c r="U644" s="617"/>
      <c r="V644" s="617"/>
      <c r="W644" s="617"/>
      <c r="X644" s="617"/>
      <c r="Y644" s="617"/>
      <c r="Z644" s="617"/>
      <c r="AA644" s="617"/>
      <c r="AB644" s="617"/>
      <c r="AC644" s="617"/>
      <c r="AD644" s="617"/>
      <c r="AE644" s="617"/>
      <c r="AF644" s="617"/>
      <c r="AG644" s="617"/>
      <c r="AH644" s="617"/>
      <c r="AI644" s="617"/>
      <c r="AJ644" s="617"/>
      <c r="AK644" s="617"/>
      <c r="AL644" s="617"/>
      <c r="AM644" s="617"/>
      <c r="AN644" s="617"/>
      <c r="AO644" s="617"/>
      <c r="AP644" s="617"/>
      <c r="AQ644" s="617"/>
      <c r="AR644" s="617"/>
      <c r="AS644" s="617"/>
      <c r="AT644" s="617"/>
      <c r="AU644" s="617"/>
      <c r="AV644" s="617"/>
      <c r="AW644" s="617"/>
      <c r="AX644" s="617"/>
      <c r="AY644" s="617"/>
      <c r="AZ644" s="617"/>
      <c r="BA644" s="617"/>
      <c r="BB644" s="617"/>
      <c r="BC644" s="617"/>
      <c r="BD644" s="617"/>
      <c r="BE644" s="617"/>
      <c r="BF644" s="617"/>
      <c r="BG644" s="617"/>
      <c r="BH644" s="772"/>
      <c r="BI644" s="617"/>
      <c r="BJ644" s="617"/>
      <c r="BK644" s="617"/>
      <c r="BL644" s="617"/>
      <c r="BM644" s="617"/>
      <c r="BN644" s="617"/>
      <c r="BO644" s="617"/>
      <c r="BP644" s="617"/>
      <c r="BQ644" s="617"/>
      <c r="BR644" s="805"/>
      <c r="BS644" s="288"/>
    </row>
    <row r="645" spans="1:71" s="673" customFormat="1" ht="15">
      <c r="A645" s="809" t="s">
        <v>607</v>
      </c>
      <c r="B645" s="419"/>
      <c r="C645" s="811"/>
      <c r="D645" s="811"/>
      <c r="E645" s="812"/>
      <c r="F645" s="812"/>
      <c r="G645" s="812"/>
      <c r="H645" s="812"/>
      <c r="I645" s="812"/>
      <c r="J645" s="812"/>
      <c r="K645" s="812"/>
      <c r="L645" s="812"/>
      <c r="M645" s="812"/>
      <c r="N645" s="812"/>
      <c r="O645" s="812"/>
      <c r="P645" s="812"/>
      <c r="Q645" s="812"/>
      <c r="R645" s="812"/>
      <c r="S645" s="812"/>
      <c r="T645" s="812"/>
      <c r="U645" s="812"/>
      <c r="V645" s="812"/>
      <c r="W645" s="812"/>
      <c r="X645" s="812"/>
      <c r="Y645" s="812"/>
      <c r="Z645" s="812">
        <f>Z640</f>
        <v>43122</v>
      </c>
      <c r="AA645" s="812">
        <f>AA640</f>
        <v>43122</v>
      </c>
      <c r="AB645" s="812">
        <f>AB640</f>
        <v>43223</v>
      </c>
      <c r="AC645" s="812">
        <f>AC640</f>
        <v>43318</v>
      </c>
      <c r="AD645" s="812">
        <f>AD640</f>
        <v>43412</v>
      </c>
      <c r="AE645" s="812"/>
      <c r="AF645" s="812"/>
      <c r="AG645" s="812">
        <f t="shared" si="1364" ref="AG645:AZ645">AG640</f>
        <v>43586</v>
      </c>
      <c r="AH645" s="812">
        <f t="shared" si="1364"/>
        <v>43683</v>
      </c>
      <c r="AI645" s="812">
        <f t="shared" si="1364"/>
        <v>43767</v>
      </c>
      <c r="AJ645" s="812">
        <f t="shared" si="1364"/>
        <v>43887</v>
      </c>
      <c r="AK645" s="812">
        <f t="shared" si="1364"/>
        <v>43887</v>
      </c>
      <c r="AL645" s="812">
        <f t="shared" si="1364"/>
        <v>43963</v>
      </c>
      <c r="AM645" s="812">
        <f t="shared" si="1364"/>
        <v>44056</v>
      </c>
      <c r="AN645" s="812">
        <f t="shared" si="1364"/>
        <v>44132</v>
      </c>
      <c r="AO645" s="812">
        <f t="shared" si="1364"/>
        <v>44230</v>
      </c>
      <c r="AP645" s="812">
        <f t="shared" si="1364"/>
        <v>44230</v>
      </c>
      <c r="AQ645" s="812">
        <f t="shared" si="1364"/>
        <v>44320</v>
      </c>
      <c r="AR645" s="812">
        <f t="shared" si="1364"/>
        <v>44411</v>
      </c>
      <c r="AS645" s="812">
        <f t="shared" si="1364"/>
        <v>44502</v>
      </c>
      <c r="AT645" s="812">
        <f t="shared" si="1364"/>
        <v>44601</v>
      </c>
      <c r="AU645" s="812">
        <f t="shared" si="1364"/>
        <v>44601</v>
      </c>
      <c r="AV645" s="812">
        <f t="shared" si="1364"/>
        <v>44686</v>
      </c>
      <c r="AW645" s="812">
        <f t="shared" si="1364"/>
        <v>44776</v>
      </c>
      <c r="AX645" s="812">
        <f t="shared" si="1364"/>
        <v>44867</v>
      </c>
      <c r="AY645" s="812">
        <f t="shared" si="1364"/>
        <v>44958</v>
      </c>
      <c r="AZ645" s="812">
        <f t="shared" si="1364"/>
        <v>44958</v>
      </c>
      <c r="BA645" s="812"/>
      <c r="BB645" s="812">
        <f>BB640</f>
        <v>45140</v>
      </c>
      <c r="BC645" s="812">
        <f>BC640</f>
        <v>45233</v>
      </c>
      <c r="BD645" s="812"/>
      <c r="BE645" s="812"/>
      <c r="BF645" s="812"/>
      <c r="BG645" s="812">
        <f>BG640</f>
        <v>0</v>
      </c>
      <c r="BH645" s="813">
        <f>BH640</f>
        <v>0</v>
      </c>
      <c r="BI645" s="812"/>
      <c r="BJ645" s="812"/>
      <c r="BK645" s="812"/>
      <c r="BL645" s="812"/>
      <c r="BM645" s="812"/>
      <c r="BN645" s="812"/>
      <c r="BO645" s="812"/>
      <c r="BP645" s="812"/>
      <c r="BQ645" s="812"/>
      <c r="BR645" s="814"/>
      <c r="BS645" s="288"/>
    </row>
    <row r="646" spans="1:71" s="673" customFormat="1" ht="15">
      <c r="A646" s="809" t="s">
        <v>610</v>
      </c>
      <c r="B646" s="419"/>
      <c r="C646" s="815"/>
      <c r="D646" s="815"/>
      <c r="E646" s="816"/>
      <c r="F646" s="816"/>
      <c r="G646" s="816"/>
      <c r="H646" s="816"/>
      <c r="I646" s="816"/>
      <c r="J646" s="816"/>
      <c r="K646" s="816"/>
      <c r="L646" s="816"/>
      <c r="M646" s="816"/>
      <c r="N646" s="816"/>
      <c r="O646" s="816"/>
      <c r="P646" s="816"/>
      <c r="Q646" s="816"/>
      <c r="R646" s="816"/>
      <c r="S646" s="816"/>
      <c r="T646" s="816"/>
      <c r="U646" s="816"/>
      <c r="V646" s="816"/>
      <c r="W646" s="816"/>
      <c r="X646" s="816"/>
      <c r="Y646" s="816"/>
      <c r="Z646" s="816" t="str">
        <f t="shared" si="1365" ref="Z646:BC646">IF(Z647=AA647,"",Z647)</f>
        <v/>
      </c>
      <c r="AA646" s="816" t="str">
        <f t="shared" si="1365"/>
        <v/>
      </c>
      <c r="AB646" s="816" t="str">
        <f t="shared" si="1365"/>
        <v/>
      </c>
      <c r="AC646" s="816" t="str">
        <f t="shared" si="1365"/>
        <v/>
      </c>
      <c r="AD646" s="816" t="str">
        <f t="shared" si="1365"/>
        <v>FY2018</v>
      </c>
      <c r="AE646" s="816" t="str">
        <f t="shared" si="1365"/>
        <v/>
      </c>
      <c r="AF646" s="816" t="str">
        <f t="shared" si="1365"/>
        <v/>
      </c>
      <c r="AG646" s="816" t="str">
        <f t="shared" si="1365"/>
        <v/>
      </c>
      <c r="AH646" s="816" t="str">
        <f t="shared" si="1365"/>
        <v/>
      </c>
      <c r="AI646" s="816" t="str">
        <f t="shared" si="1365"/>
        <v>FY2019</v>
      </c>
      <c r="AJ646" s="816" t="str">
        <f t="shared" si="1365"/>
        <v/>
      </c>
      <c r="AK646" s="816" t="str">
        <f t="shared" si="1365"/>
        <v/>
      </c>
      <c r="AL646" s="816" t="str">
        <f t="shared" si="1365"/>
        <v/>
      </c>
      <c r="AM646" s="816" t="str">
        <f t="shared" si="1365"/>
        <v/>
      </c>
      <c r="AN646" s="816" t="str">
        <f t="shared" si="1365"/>
        <v>FY2020</v>
      </c>
      <c r="AO646" s="816" t="str">
        <f t="shared" si="1365"/>
        <v/>
      </c>
      <c r="AP646" s="816" t="str">
        <f t="shared" si="1365"/>
        <v/>
      </c>
      <c r="AQ646" s="816" t="str">
        <f t="shared" si="1365"/>
        <v/>
      </c>
      <c r="AR646" s="816" t="str">
        <f t="shared" si="1365"/>
        <v/>
      </c>
      <c r="AS646" s="816" t="str">
        <f t="shared" si="1365"/>
        <v>FY2021</v>
      </c>
      <c r="AT646" s="816" t="str">
        <f t="shared" si="1365"/>
        <v/>
      </c>
      <c r="AU646" s="816" t="str">
        <f t="shared" si="1365"/>
        <v/>
      </c>
      <c r="AV646" s="816" t="str">
        <f t="shared" si="1365"/>
        <v/>
      </c>
      <c r="AW646" s="816" t="str">
        <f t="shared" si="1365"/>
        <v/>
      </c>
      <c r="AX646" s="816" t="str">
        <f t="shared" si="1365"/>
        <v>FY2022</v>
      </c>
      <c r="AY646" s="816" t="str">
        <f t="shared" si="1365"/>
        <v/>
      </c>
      <c r="AZ646" s="816" t="str">
        <f t="shared" si="1365"/>
        <v/>
      </c>
      <c r="BA646" s="816" t="str">
        <f t="shared" si="1365"/>
        <v/>
      </c>
      <c r="BB646" s="816" t="str">
        <f t="shared" si="1365"/>
        <v/>
      </c>
      <c r="BC646" s="816" t="str">
        <f t="shared" si="1365"/>
        <v>FY2023</v>
      </c>
      <c r="BD646" s="816" t="str">
        <f>IF(BD647=BE647,"",BD647)</f>
        <v/>
      </c>
      <c r="BE646" s="816" t="str">
        <f>IF(BE647=BF647,"",BE647)</f>
        <v/>
      </c>
      <c r="BF646" s="816" t="str">
        <f>IF(BF647=BG647,"",BF647)</f>
        <v/>
      </c>
      <c r="BG646" s="816" t="str">
        <f>IF(BG647=BH647,"",BG647)</f>
        <v/>
      </c>
      <c r="BH646" s="817" t="str">
        <f>IF(BH647=BI647,"",BH647)</f>
        <v>FY2024</v>
      </c>
      <c r="BI646" s="816"/>
      <c r="BJ646" s="816"/>
      <c r="BK646" s="816"/>
      <c r="BL646" s="816"/>
      <c r="BM646" s="816"/>
      <c r="BN646" s="816"/>
      <c r="BO646" s="816"/>
      <c r="BP646" s="816"/>
      <c r="BQ646" s="816"/>
      <c r="BR646" s="818"/>
      <c r="BS646" s="288"/>
    </row>
    <row r="647" spans="1:71" s="673" customFormat="1" ht="15">
      <c r="A647" s="809" t="s">
        <v>608</v>
      </c>
      <c r="B647" s="419"/>
      <c r="C647" s="815"/>
      <c r="D647" s="815"/>
      <c r="E647" s="816"/>
      <c r="F647" s="816"/>
      <c r="G647" s="816"/>
      <c r="H647" s="816"/>
      <c r="I647" s="816"/>
      <c r="J647" s="816"/>
      <c r="K647" s="816"/>
      <c r="L647" s="816"/>
      <c r="M647" s="816"/>
      <c r="N647" s="816"/>
      <c r="O647" s="816"/>
      <c r="P647" s="816"/>
      <c r="Q647" s="816"/>
      <c r="R647" s="816"/>
      <c r="S647" s="816"/>
      <c r="T647" s="816"/>
      <c r="U647" s="816"/>
      <c r="V647" s="816"/>
      <c r="W647" s="816"/>
      <c r="X647" s="816"/>
      <c r="Y647" s="816"/>
      <c r="Z647" s="816" t="str">
        <f>AF$5</f>
        <v>FY2018</v>
      </c>
      <c r="AA647" s="816" t="str">
        <f>AF$5</f>
        <v>FY2018</v>
      </c>
      <c r="AB647" s="816" t="str">
        <f>AF$5</f>
        <v>FY2018</v>
      </c>
      <c r="AC647" s="816" t="str">
        <f>AF$5</f>
        <v>FY2018</v>
      </c>
      <c r="AD647" s="816" t="str">
        <f>AF$5</f>
        <v>FY2018</v>
      </c>
      <c r="AE647" s="816" t="str">
        <f>AK$5</f>
        <v>FY2019</v>
      </c>
      <c r="AF647" s="816" t="str">
        <f>AK$5</f>
        <v>FY2019</v>
      </c>
      <c r="AG647" s="816" t="str">
        <f>AK$5</f>
        <v>FY2019</v>
      </c>
      <c r="AH647" s="816" t="str">
        <f>AK$5</f>
        <v>FY2019</v>
      </c>
      <c r="AI647" s="816" t="str">
        <f>AK$5</f>
        <v>FY2019</v>
      </c>
      <c r="AJ647" s="816" t="str">
        <f>AP$5</f>
        <v>FY2020</v>
      </c>
      <c r="AK647" s="816" t="str">
        <f>AP$5</f>
        <v>FY2020</v>
      </c>
      <c r="AL647" s="816" t="str">
        <f>AP$5</f>
        <v>FY2020</v>
      </c>
      <c r="AM647" s="816" t="str">
        <f>AP$5</f>
        <v>FY2020</v>
      </c>
      <c r="AN647" s="816" t="str">
        <f>AP$5</f>
        <v>FY2020</v>
      </c>
      <c r="AO647" s="816" t="str">
        <f>AU$5</f>
        <v>FY2021</v>
      </c>
      <c r="AP647" s="816" t="str">
        <f>AU$5</f>
        <v>FY2021</v>
      </c>
      <c r="AQ647" s="816" t="str">
        <f>AU$5</f>
        <v>FY2021</v>
      </c>
      <c r="AR647" s="816" t="str">
        <f>AU$5</f>
        <v>FY2021</v>
      </c>
      <c r="AS647" s="816" t="str">
        <f>AU$5</f>
        <v>FY2021</v>
      </c>
      <c r="AT647" s="816" t="str">
        <f>AZ$5</f>
        <v>FY2022</v>
      </c>
      <c r="AU647" s="816" t="str">
        <f>AZ$5</f>
        <v>FY2022</v>
      </c>
      <c r="AV647" s="816" t="str">
        <f>AZ$5</f>
        <v>FY2022</v>
      </c>
      <c r="AW647" s="816" t="str">
        <f>AZ$5</f>
        <v>FY2022</v>
      </c>
      <c r="AX647" s="816" t="str">
        <f>AZ$5</f>
        <v>FY2022</v>
      </c>
      <c r="AY647" s="816" t="str">
        <f>BE$5</f>
        <v>FY2023</v>
      </c>
      <c r="AZ647" s="816" t="str">
        <f>BE$5</f>
        <v>FY2023</v>
      </c>
      <c r="BA647" s="816" t="str">
        <f>BE$5</f>
        <v>FY2023</v>
      </c>
      <c r="BB647" s="816" t="str">
        <f>BE$5</f>
        <v>FY2023</v>
      </c>
      <c r="BC647" s="816" t="str">
        <f>BE$5</f>
        <v>FY2023</v>
      </c>
      <c r="BD647" s="816" t="str">
        <f>BJ$5</f>
        <v>FY2024</v>
      </c>
      <c r="BE647" s="816" t="str">
        <f>BJ$5</f>
        <v>FY2024</v>
      </c>
      <c r="BF647" s="816" t="str">
        <f>BJ$5</f>
        <v>FY2024</v>
      </c>
      <c r="BG647" s="816" t="str">
        <f>BJ$5</f>
        <v>FY2024</v>
      </c>
      <c r="BH647" s="817" t="str">
        <f>BJ$5</f>
        <v>FY2024</v>
      </c>
      <c r="BI647" s="816"/>
      <c r="BJ647" s="816"/>
      <c r="BK647" s="816"/>
      <c r="BL647" s="816"/>
      <c r="BM647" s="816"/>
      <c r="BN647" s="816"/>
      <c r="BO647" s="816"/>
      <c r="BP647" s="816"/>
      <c r="BQ647" s="816"/>
      <c r="BR647" s="818"/>
      <c r="BS647" s="288"/>
    </row>
    <row r="648" spans="1:71" s="673" customFormat="1" ht="15">
      <c r="A648" s="810"/>
      <c r="B648" s="363"/>
      <c r="C648" s="806"/>
      <c r="D648" s="806"/>
      <c r="E648" s="363"/>
      <c r="F648" s="363"/>
      <c r="G648" s="363"/>
      <c r="H648" s="363"/>
      <c r="I648" s="363"/>
      <c r="J648" s="363"/>
      <c r="K648" s="363"/>
      <c r="L648" s="363"/>
      <c r="M648" s="363"/>
      <c r="N648" s="363"/>
      <c r="O648" s="363"/>
      <c r="P648" s="363"/>
      <c r="Q648" s="363"/>
      <c r="R648" s="363"/>
      <c r="S648" s="363"/>
      <c r="T648" s="363"/>
      <c r="U648" s="363"/>
      <c r="V648" s="363"/>
      <c r="W648" s="363"/>
      <c r="X648" s="363"/>
      <c r="Y648" s="363"/>
      <c r="Z648" s="363"/>
      <c r="AA648" s="363"/>
      <c r="AB648" s="363"/>
      <c r="AC648" s="363"/>
      <c r="AD648" s="363"/>
      <c r="AE648" s="363"/>
      <c r="AF648" s="363"/>
      <c r="AG648" s="363"/>
      <c r="AH648" s="363"/>
      <c r="AI648" s="363"/>
      <c r="AJ648" s="363"/>
      <c r="AK648" s="363"/>
      <c r="AL648" s="363"/>
      <c r="AM648" s="363"/>
      <c r="AN648" s="363"/>
      <c r="AO648" s="363"/>
      <c r="AP648" s="363"/>
      <c r="AQ648" s="363"/>
      <c r="AR648" s="363"/>
      <c r="AS648" s="363"/>
      <c r="AT648" s="363"/>
      <c r="AU648" s="363"/>
      <c r="AV648" s="363"/>
      <c r="AW648" s="363"/>
      <c r="AX648" s="363"/>
      <c r="AY648" s="363"/>
      <c r="AZ648" s="363"/>
      <c r="BA648" s="363"/>
      <c r="BB648" s="363"/>
      <c r="BC648" s="363"/>
      <c r="BD648" s="363"/>
      <c r="BE648" s="363"/>
      <c r="BF648" s="363"/>
      <c r="BG648" s="363"/>
      <c r="BH648" s="773"/>
      <c r="BI648" s="363"/>
      <c r="BJ648" s="363"/>
      <c r="BK648" s="363"/>
      <c r="BL648" s="363"/>
      <c r="BM648" s="363"/>
      <c r="BN648" s="363"/>
      <c r="BO648" s="363"/>
      <c r="BP648" s="363"/>
      <c r="BQ648" s="363"/>
      <c r="BR648" s="807"/>
      <c r="BS648" s="288"/>
    </row>
    <row r="649" spans="1:71" s="673" customFormat="1" ht="15">
      <c r="A649" s="543"/>
      <c r="B649" s="548"/>
      <c r="C649" s="555"/>
      <c r="D649" s="555"/>
      <c r="E649" s="548"/>
      <c r="F649" s="548"/>
      <c r="G649" s="548"/>
      <c r="H649" s="548"/>
      <c r="I649" s="548"/>
      <c r="J649" s="548"/>
      <c r="K649" s="548"/>
      <c r="L649" s="548"/>
      <c r="M649" s="548"/>
      <c r="N649" s="548"/>
      <c r="O649" s="548"/>
      <c r="P649" s="548"/>
      <c r="Q649" s="548"/>
      <c r="R649" s="548"/>
      <c r="S649" s="548"/>
      <c r="T649" s="548"/>
      <c r="U649" s="548"/>
      <c r="V649" s="548"/>
      <c r="W649" s="548"/>
      <c r="X649" s="548"/>
      <c r="Y649" s="548"/>
      <c r="Z649" s="548"/>
      <c r="AA649" s="548"/>
      <c r="AB649" s="548"/>
      <c r="AC649" s="548"/>
      <c r="AD649" s="548"/>
      <c r="AE649" s="548"/>
      <c r="AF649" s="548"/>
      <c r="AG649" s="548"/>
      <c r="AH649" s="548"/>
      <c r="AI649" s="548"/>
      <c r="AJ649" s="548"/>
      <c r="AK649" s="548"/>
      <c r="AL649" s="548"/>
      <c r="AM649" s="548"/>
      <c r="AN649" s="548"/>
      <c r="AO649" s="548"/>
      <c r="AP649" s="548"/>
      <c r="AQ649" s="548"/>
      <c r="AR649" s="548"/>
      <c r="AS649" s="548"/>
      <c r="AT649" s="548"/>
      <c r="AU649" s="548"/>
      <c r="AV649" s="548"/>
      <c r="AW649" s="548"/>
      <c r="AX649" s="548"/>
      <c r="AY649" s="548"/>
      <c r="AZ649" s="548"/>
      <c r="BA649" s="548"/>
      <c r="BB649" s="548"/>
      <c r="BC649" s="548"/>
      <c r="BD649" s="548"/>
      <c r="BE649" s="548"/>
      <c r="BF649" s="548"/>
      <c r="BG649" s="548"/>
      <c r="BH649" s="556"/>
      <c r="BI649" s="548"/>
      <c r="BJ649" s="548"/>
      <c r="BK649" s="548"/>
      <c r="BL649" s="548"/>
      <c r="BM649" s="548"/>
      <c r="BN649" s="548"/>
      <c r="BO649" s="548"/>
      <c r="BP649" s="548"/>
      <c r="BQ649" s="548"/>
      <c r="BR649" s="548"/>
      <c r="BS649" s="288"/>
    </row>
    <row r="650" spans="1:71" s="672" customFormat="1" ht="15">
      <c r="A650" s="999" t="s">
        <v>390</v>
      </c>
      <c r="B650" s="1000"/>
      <c r="C650" s="1000"/>
      <c r="D650" s="1000"/>
      <c r="E650" s="1000"/>
      <c r="F650" s="1000"/>
      <c r="G650" s="1000"/>
      <c r="H650" s="1000"/>
      <c r="I650" s="1000"/>
      <c r="J650" s="1000"/>
      <c r="K650" s="1000"/>
      <c r="L650" s="1000"/>
      <c r="M650" s="1000"/>
      <c r="N650" s="1000"/>
      <c r="O650" s="1000"/>
      <c r="P650" s="1000"/>
      <c r="Q650" s="1000"/>
      <c r="R650" s="1000"/>
      <c r="S650" s="1000"/>
      <c r="T650" s="1000"/>
      <c r="U650" s="1000"/>
      <c r="V650" s="1000"/>
      <c r="W650" s="1000"/>
      <c r="X650" s="1000"/>
      <c r="Y650" s="1000"/>
      <c r="Z650" s="1000"/>
      <c r="AA650" s="1000"/>
      <c r="AB650" s="1000"/>
      <c r="AC650" s="1000"/>
      <c r="AD650" s="1000"/>
      <c r="AE650" s="1000"/>
      <c r="AF650" s="1000"/>
      <c r="AG650" s="1000"/>
      <c r="AH650" s="1000"/>
      <c r="AI650" s="1000"/>
      <c r="AJ650" s="1000"/>
      <c r="AK650" s="1000"/>
      <c r="AL650" s="1000"/>
      <c r="AM650" s="1000"/>
      <c r="AN650" s="1000"/>
      <c r="AO650" s="1000"/>
      <c r="AP650" s="1000"/>
      <c r="AQ650" s="1000"/>
      <c r="AR650" s="1000"/>
      <c r="AS650" s="1000"/>
      <c r="AT650" s="1000"/>
      <c r="AU650" s="1000"/>
      <c r="AV650" s="1000"/>
      <c r="AW650" s="1000"/>
      <c r="AX650" s="1000"/>
      <c r="AY650" s="1000"/>
      <c r="AZ650" s="1000"/>
      <c r="BA650" s="1000"/>
      <c r="BB650" s="1000"/>
      <c r="BC650" s="1000"/>
      <c r="BD650" s="1000"/>
      <c r="BE650" s="1000"/>
      <c r="BF650" s="1000"/>
      <c r="BG650" s="1000"/>
      <c r="BH650" s="1001"/>
      <c r="BI650" s="1000" t="str">
        <f t="shared" si="1366" ref="BI650:BR650">BI5</f>
        <v>Q4-2024</v>
      </c>
      <c r="BJ650" s="1000" t="str">
        <f t="shared" si="1366"/>
        <v>FY2024</v>
      </c>
      <c r="BK650" s="1000" t="str">
        <f t="shared" si="1366"/>
        <v>Q1-2025</v>
      </c>
      <c r="BL650" s="1000" t="str">
        <f t="shared" si="1366"/>
        <v>Q2-2025</v>
      </c>
      <c r="BM650" s="1000" t="str">
        <f t="shared" si="1366"/>
        <v>Q3-2025</v>
      </c>
      <c r="BN650" s="1000" t="str">
        <f t="shared" si="1366"/>
        <v>Q4-2025</v>
      </c>
      <c r="BO650" s="1000" t="str">
        <f t="shared" si="1366"/>
        <v>FY2025</v>
      </c>
      <c r="BP650" s="1000" t="str">
        <f t="shared" si="1366"/>
        <v>FY2026</v>
      </c>
      <c r="BQ650" s="1000" t="str">
        <f t="shared" si="1366"/>
        <v>FY2027</v>
      </c>
      <c r="BR650" s="1002" t="str">
        <f t="shared" si="1366"/>
        <v>FY2028</v>
      </c>
      <c r="BS650" s="364"/>
    </row>
    <row r="651" spans="1:71" s="672" customFormat="1" ht="15">
      <c r="A651" s="1003" t="s">
        <v>391</v>
      </c>
      <c r="B651" s="976"/>
      <c r="C651" s="976"/>
      <c r="D651" s="976"/>
      <c r="E651" s="976"/>
      <c r="F651" s="976"/>
      <c r="G651" s="976"/>
      <c r="H651" s="976"/>
      <c r="I651" s="976"/>
      <c r="J651" s="976"/>
      <c r="K651" s="976"/>
      <c r="L651" s="976"/>
      <c r="M651" s="976"/>
      <c r="N651" s="976"/>
      <c r="O651" s="976"/>
      <c r="P651" s="976"/>
      <c r="Q651" s="976"/>
      <c r="R651" s="976"/>
      <c r="S651" s="976"/>
      <c r="T651" s="976"/>
      <c r="U651" s="976"/>
      <c r="V651" s="976"/>
      <c r="W651" s="976"/>
      <c r="X651" s="976"/>
      <c r="Y651" s="976"/>
      <c r="Z651" s="976"/>
      <c r="AA651" s="976"/>
      <c r="AB651" s="976"/>
      <c r="AC651" s="976"/>
      <c r="AD651" s="976"/>
      <c r="AE651" s="976"/>
      <c r="AF651" s="976"/>
      <c r="AG651" s="976"/>
      <c r="AH651" s="976"/>
      <c r="AI651" s="976"/>
      <c r="AJ651" s="976"/>
      <c r="AK651" s="976"/>
      <c r="AL651" s="976"/>
      <c r="AM651" s="976"/>
      <c r="AN651" s="976"/>
      <c r="AO651" s="976"/>
      <c r="AP651" s="976"/>
      <c r="AQ651" s="976"/>
      <c r="AR651" s="976"/>
      <c r="AS651" s="976"/>
      <c r="AT651" s="976"/>
      <c r="AU651" s="976"/>
      <c r="AV651" s="976"/>
      <c r="AW651" s="976"/>
      <c r="AX651" s="976"/>
      <c r="AY651" s="976"/>
      <c r="AZ651" s="976"/>
      <c r="BA651" s="976"/>
      <c r="BB651" s="976"/>
      <c r="BC651" s="976"/>
      <c r="BD651" s="976"/>
      <c r="BE651" s="976"/>
      <c r="BF651" s="976"/>
      <c r="BG651" s="976"/>
      <c r="BH651" s="977"/>
      <c r="BI651" s="976" t="str">
        <f ca="1">IF(MO.DataSourceIndex=3,IF(LEFT(INDIRECT(ADDRESS(ROW()-1,COLUMN())),2)="FY","ANNUAL",IF(LEFT(INDIRECT(ADDRESS(ROW()-1,COLUMN())),1)="Q","QUARTERLY","")),IF(LEFT(INDIRECT(ADDRESS(ROW()-1,COLUMN())),2)="FY","FY",IF(LEFT(INDIRECT(ADDRESS(ROW()-1,COLUMN())),1)="Q","FQ","FH")))</f>
        <v>FQ</v>
      </c>
      <c r="BJ651" s="976" t="str">
        <f ca="1" t="shared" si="1367" ref="BJ651">IF(MO.DataSourceIndex=3,IF(LEFT(INDIRECT(ADDRESS(ROW()-1,COLUMN())),2)="FY","ANNUAL",IF(LEFT(INDIRECT(ADDRESS(ROW()-1,COLUMN())),1)="Q","QUARTERLY","")),IF(LEFT(INDIRECT(ADDRESS(ROW()-1,COLUMN())),2)="FY","FY",IF(LEFT(INDIRECT(ADDRESS(ROW()-1,COLUMN())),1)="Q","FQ","FH")))</f>
        <v>FY</v>
      </c>
      <c r="BK651" s="976" t="str">
        <f ca="1" t="shared" si="1368" ref="BK651:BR651">IF(MO.DataSourceIndex=3,IF(LEFT(INDIRECT(ADDRESS(ROW()-1,COLUMN())),2)="FY","ANNUAL",IF(LEFT(INDIRECT(ADDRESS(ROW()-1,COLUMN())),1)="Q","QUARTERLY","")),IF(LEFT(INDIRECT(ADDRESS(ROW()-1,COLUMN())),2)="FY","FY",IF(LEFT(INDIRECT(ADDRESS(ROW()-1,COLUMN())),1)="Q","FQ","FH")))</f>
        <v>FQ</v>
      </c>
      <c r="BL651" s="976" t="str">
        <f t="shared" ca="1" si="1368"/>
        <v>FQ</v>
      </c>
      <c r="BM651" s="976" t="str">
        <f t="shared" ca="1" si="1368"/>
        <v>FQ</v>
      </c>
      <c r="BN651" s="976" t="str">
        <f t="shared" ca="1" si="1368"/>
        <v>FQ</v>
      </c>
      <c r="BO651" s="976" t="str">
        <f t="shared" ca="1" si="1368"/>
        <v>FY</v>
      </c>
      <c r="BP651" s="976" t="str">
        <f t="shared" ca="1" si="1368"/>
        <v>FY</v>
      </c>
      <c r="BQ651" s="976" t="str">
        <f t="shared" ca="1" si="1368"/>
        <v>FY</v>
      </c>
      <c r="BR651" s="1004" t="str">
        <f t="shared" ca="1" si="1368"/>
        <v>FY</v>
      </c>
      <c r="BS651" s="364"/>
    </row>
    <row r="652" spans="1:71" s="672" customFormat="1" ht="15">
      <c r="A652" s="1003" t="s">
        <v>392</v>
      </c>
      <c r="B652" s="976"/>
      <c r="C652" s="976"/>
      <c r="D652" s="976"/>
      <c r="E652" s="976"/>
      <c r="F652" s="976"/>
      <c r="G652" s="976"/>
      <c r="H652" s="976"/>
      <c r="I652" s="976"/>
      <c r="J652" s="976"/>
      <c r="K652" s="976"/>
      <c r="L652" s="976"/>
      <c r="M652" s="976"/>
      <c r="N652" s="976"/>
      <c r="O652" s="976"/>
      <c r="P652" s="976"/>
      <c r="Q652" s="976"/>
      <c r="R652" s="976"/>
      <c r="S652" s="976"/>
      <c r="T652" s="976"/>
      <c r="U652" s="976"/>
      <c r="V652" s="976"/>
      <c r="W652" s="976"/>
      <c r="X652" s="976"/>
      <c r="Y652" s="976"/>
      <c r="Z652" s="976"/>
      <c r="AA652" s="976"/>
      <c r="AB652" s="976"/>
      <c r="AC652" s="976"/>
      <c r="AD652" s="976"/>
      <c r="AE652" s="976"/>
      <c r="AF652" s="976"/>
      <c r="AG652" s="976"/>
      <c r="AH652" s="976"/>
      <c r="AI652" s="976"/>
      <c r="AJ652" s="976"/>
      <c r="AK652" s="976"/>
      <c r="AL652" s="976"/>
      <c r="AM652" s="976"/>
      <c r="AN652" s="976"/>
      <c r="AO652" s="976"/>
      <c r="AP652" s="976"/>
      <c r="AQ652" s="976"/>
      <c r="AR652" s="976"/>
      <c r="AS652" s="976"/>
      <c r="AT652" s="976"/>
      <c r="AU652" s="976"/>
      <c r="AV652" s="976"/>
      <c r="AW652" s="976"/>
      <c r="AX652" s="976"/>
      <c r="AY652" s="976"/>
      <c r="AZ652" s="976"/>
      <c r="BA652" s="976"/>
      <c r="BB652" s="976"/>
      <c r="BC652" s="976"/>
      <c r="BD652" s="976"/>
      <c r="BE652" s="976"/>
      <c r="BF652" s="976"/>
      <c r="BG652" s="976"/>
      <c r="BH652" s="977"/>
      <c r="BI652" s="976">
        <f ca="1">IF(MO.DataSourceIndex=3,IF(INDEX(MO_SNA_ConsensusEstimatePeriodType,,COLUMN())="ANNUAL",COUNTIF(OFFSET(INDEX(MO_SNA_ConsensusEstimatePeriodType,,1),,,,COLUMN()),"ANNUAL"),IF(INDEX(MO_SNA_ConsensusEstimatePeriodType,,COLUMN())="QUARTERLY",COUNTIF(OFFSET(INDEX(MO_SNA_ConsensusEstimatePeriodType,,1),,,,COLUMN()),"QUARTERLY"),"")),IF(INDEX(MO_SNA_ConsensusEstimatePeriodType,,COLUMN())="FY",COUNTIF(OFFSET(INDEX(MO_SNA_ConsensusEstimatePeriodType,,1),,,,COLUMN()),"FY"),IF(INDEX(MO_SNA_ConsensusEstimatePeriodType,,COLUMN())="FQ",COUNTIF(OFFSET(INDEX(MO_SNA_ConsensusEstimatePeriodType,,1),,,,COLUMN()),"FQ"),COUNTIF(OFFSET(INDEX(MO_SNA_ConsensusEstimatePeriodType,,1),,,,COLUMN()),"FH"))))</f>
        <v>1</v>
      </c>
      <c r="BJ652" s="976">
        <f ca="1" t="shared" si="1369" ref="BJ652">IF(MO.DataSourceIndex=3,IF(INDEX(MO_SNA_ConsensusEstimatePeriodType,,COLUMN())="ANNUAL",COUNTIF(OFFSET(INDEX(MO_SNA_ConsensusEstimatePeriodType,,1),,,,COLUMN()),"ANNUAL"),IF(INDEX(MO_SNA_ConsensusEstimatePeriodType,,COLUMN())="QUARTERLY",COUNTIF(OFFSET(INDEX(MO_SNA_ConsensusEstimatePeriodType,,1),,,,COLUMN()),"QUARTERLY"),"")),IF(INDEX(MO_SNA_ConsensusEstimatePeriodType,,COLUMN())="FY",COUNTIF(OFFSET(INDEX(MO_SNA_ConsensusEstimatePeriodType,,1),,,,COLUMN()),"FY"),IF(INDEX(MO_SNA_ConsensusEstimatePeriodType,,COLUMN())="FQ",COUNTIF(OFFSET(INDEX(MO_SNA_ConsensusEstimatePeriodType,,1),,,,COLUMN()),"FQ"),COUNTIF(OFFSET(INDEX(MO_SNA_ConsensusEstimatePeriodType,,1),,,,COLUMN()),"FH"))))</f>
        <v>1</v>
      </c>
      <c r="BK652" s="976">
        <f ca="1" t="shared" si="1370" ref="BK652:BR652">IF(MO.DataSourceIndex=3,IF(INDEX(MO_SNA_ConsensusEstimatePeriodType,,COLUMN())="ANNUAL",COUNTIF(OFFSET(INDEX(MO_SNA_ConsensusEstimatePeriodType,,1),,,,COLUMN()),"ANNUAL"),IF(INDEX(MO_SNA_ConsensusEstimatePeriodType,,COLUMN())="QUARTERLY",COUNTIF(OFFSET(INDEX(MO_SNA_ConsensusEstimatePeriodType,,1),,,,COLUMN()),"QUARTERLY"),"")),IF(INDEX(MO_SNA_ConsensusEstimatePeriodType,,COLUMN())="FY",COUNTIF(OFFSET(INDEX(MO_SNA_ConsensusEstimatePeriodType,,1),,,,COLUMN()),"FY"),IF(INDEX(MO_SNA_ConsensusEstimatePeriodType,,COLUMN())="FQ",COUNTIF(OFFSET(INDEX(MO_SNA_ConsensusEstimatePeriodType,,1),,,,COLUMN()),"FQ"),COUNTIF(OFFSET(INDEX(MO_SNA_ConsensusEstimatePeriodType,,1),,,,COLUMN()),"FH"))))</f>
        <v>2</v>
      </c>
      <c r="BL652" s="976">
        <f t="shared" ca="1" si="1370"/>
        <v>3</v>
      </c>
      <c r="BM652" s="976">
        <f t="shared" ca="1" si="1370"/>
        <v>4</v>
      </c>
      <c r="BN652" s="976">
        <f t="shared" ca="1" si="1370"/>
        <v>5</v>
      </c>
      <c r="BO652" s="976">
        <f t="shared" ca="1" si="1370"/>
        <v>2</v>
      </c>
      <c r="BP652" s="976">
        <f t="shared" ca="1" si="1370"/>
        <v>3</v>
      </c>
      <c r="BQ652" s="976">
        <f t="shared" ca="1" si="1370"/>
        <v>4</v>
      </c>
      <c r="BR652" s="1004">
        <f t="shared" ca="1" si="1370"/>
        <v>5</v>
      </c>
      <c r="BS652" s="364"/>
    </row>
    <row r="653" spans="1:71" s="667" customFormat="1" ht="15">
      <c r="A653" s="385" t="str">
        <f>$A$42</f>
        <v>Consensus Estimates - Total Net Earned Premiums, mm</v>
      </c>
      <c r="B653" s="952"/>
      <c r="C653" s="330"/>
      <c r="D653" s="330"/>
      <c r="E653" s="330"/>
      <c r="F653" s="330"/>
      <c r="G653" s="330"/>
      <c r="H653" s="952"/>
      <c r="I653" s="952"/>
      <c r="J653" s="952"/>
      <c r="K653" s="952"/>
      <c r="L653" s="952"/>
      <c r="M653" s="952"/>
      <c r="N653" s="952"/>
      <c r="O653" s="952"/>
      <c r="P653" s="952"/>
      <c r="Q653" s="952"/>
      <c r="R653" s="952"/>
      <c r="S653" s="952"/>
      <c r="T653" s="952"/>
      <c r="U653" s="952"/>
      <c r="V653" s="952"/>
      <c r="W653" s="952"/>
      <c r="X653" s="952"/>
      <c r="Y653" s="952"/>
      <c r="Z653" s="952"/>
      <c r="AA653" s="952"/>
      <c r="AB653" s="952"/>
      <c r="AC653" s="952"/>
      <c r="AD653" s="952"/>
      <c r="AE653" s="952"/>
      <c r="AF653" s="952"/>
      <c r="AG653" s="952"/>
      <c r="AH653" s="952"/>
      <c r="AI653" s="952"/>
      <c r="AJ653" s="952"/>
      <c r="AK653" s="952"/>
      <c r="AL653" s="952"/>
      <c r="AM653" s="952"/>
      <c r="AN653" s="952"/>
      <c r="AO653" s="952"/>
      <c r="AP653" s="952"/>
      <c r="AQ653" s="952"/>
      <c r="AR653" s="952"/>
      <c r="AS653" s="952"/>
      <c r="AT653" s="952"/>
      <c r="AU653" s="952"/>
      <c r="AV653" s="952"/>
      <c r="AW653" s="952"/>
      <c r="AX653" s="952"/>
      <c r="AY653" s="952"/>
      <c r="AZ653" s="952"/>
      <c r="BA653" s="952"/>
      <c r="BB653" s="952"/>
      <c r="BC653" s="952"/>
      <c r="BD653" s="952"/>
      <c r="BE653" s="952"/>
      <c r="BF653" s="952"/>
      <c r="BG653" s="952"/>
      <c r="BH653" s="953"/>
      <c r="BI653" s="971" t="str">
        <f ca="1">IFERROR(CHOOSE(MO.DataSourceIndex,_xll.BDP(MO.Ticker.Bloomberg&amp;" EQUITY","IEST_NET_PREMIUMS_EARNED","BEST_FPERIOD_OVERRIDE="&amp;INDEX(tb_ConsensusEstimate,3,COLUMN())&amp;INDEX(tb_ConsensusEstimate,2,COLUMN())),0,_xll.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J653" s="971" t="str">
        <f ca="1">IFERROR(CHOOSE(MO.DataSourceIndex,_xll.BDP(MO.Ticker.Bloomberg&amp;" EQUITY","IEST_NET_PREMIUMS_EARNED","BEST_FPERIOD_OVERRIDE="&amp;INDEX(tb_ConsensusEstimate,3,COLUMN())&amp;INDEX(tb_ConsensusEstimate,2,COLUMN())),0,_xll.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K653" s="971" t="str">
        <f ca="1">IFERROR(CHOOSE(MO.DataSourceIndex,_xll.BDP(MO.Ticker.Bloomberg&amp;" EQUITY","IEST_NET_PREMIUMS_EARNED","BEST_FPERIOD_OVERRIDE="&amp;INDEX(tb_ConsensusEstimate,3,COLUMN())&amp;INDEX(tb_ConsensusEstimate,2,COLUMN())),0,_xll.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L653" s="971" t="str">
        <f ca="1">IFERROR(CHOOSE(MO.DataSourceIndex,_xll.BDP(MO.Ticker.Bloomberg&amp;" EQUITY","IEST_NET_PREMIUMS_EARNED","BEST_FPERIOD_OVERRIDE="&amp;INDEX(tb_ConsensusEstimate,3,COLUMN())&amp;INDEX(tb_ConsensusEstimate,2,COLUMN())),0,_xll.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M653" s="971" t="str">
        <f ca="1">IFERROR(CHOOSE(MO.DataSourceIndex,_xll.BDP(MO.Ticker.Bloomberg&amp;" EQUITY","IEST_NET_PREMIUMS_EARNED","BEST_FPERIOD_OVERRIDE="&amp;INDEX(tb_ConsensusEstimate,3,COLUMN())&amp;INDEX(tb_ConsensusEstimate,2,COLUMN())),0,_xll.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N653" s="971" t="str">
        <f ca="1">IFERROR(CHOOSE(MO.DataSourceIndex,_xll.BDP(MO.Ticker.Bloomberg&amp;" EQUITY","IEST_NET_PREMIUMS_EARNED","BEST_FPERIOD_OVERRIDE="&amp;INDEX(tb_ConsensusEstimate,3,COLUMN())&amp;INDEX(tb_ConsensusEstimate,2,COLUMN())),0,_xll.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O653" s="971" t="str">
        <f ca="1">IFERROR(CHOOSE(MO.DataSourceIndex,_xll.BDP(MO.Ticker.Bloomberg&amp;" EQUITY","IEST_NET_PREMIUMS_EARNED","BEST_FPERIOD_OVERRIDE="&amp;INDEX(tb_ConsensusEstimate,3,COLUMN())&amp;INDEX(tb_ConsensusEstimate,2,COLUMN())),0,_xll.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P653" s="971" t="str">
        <f ca="1">IFERROR(CHOOSE(MO.DataSourceIndex,_xll.BDP(MO.Ticker.Bloomberg&amp;" EQUITY","IEST_NET_PREMIUMS_EARNED","BEST_FPERIOD_OVERRIDE="&amp;INDEX(tb_ConsensusEstimate,3,COLUMN())&amp;INDEX(tb_ConsensusEstimate,2,COLUMN())),0,_xll.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Q653" s="971" t="str">
        <f ca="1">IFERROR(CHOOSE(MO.DataSourceIndex,_xll.BDP(MO.Ticker.Bloomberg&amp;" EQUITY","IEST_NET_PREMIUMS_EARNED","BEST_FPERIOD_OVERRIDE="&amp;INDEX(tb_ConsensusEstimate,3,COLUMN())&amp;INDEX(tb_ConsensusEstimate,2,COLUMN())),0,_xll.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R653" s="383" t="str">
        <f ca="1">IFERROR(CHOOSE(MO.DataSourceIndex,_xll.BDP(MO.Ticker.Bloomberg&amp;" EQUITY","IEST_NET_PREMIUMS_EARNED","BEST_FPERIOD_OVERRIDE="&amp;INDEX(tb_ConsensusEstimate,3,COLUMN())&amp;INDEX(tb_ConsensusEstimate,2,COLUMN())),0,_xll.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S653" s="365"/>
    </row>
    <row r="654" spans="1:71" s="667" customFormat="1" ht="15">
      <c r="A654" s="385" t="str">
        <f>$A$91</f>
        <v>Consensus Estimates - Total Underwriting Income, mm</v>
      </c>
      <c r="B654" s="952"/>
      <c r="C654" s="330"/>
      <c r="D654" s="330"/>
      <c r="E654" s="330"/>
      <c r="F654" s="330"/>
      <c r="G654" s="330"/>
      <c r="H654" s="952"/>
      <c r="I654" s="952"/>
      <c r="J654" s="952"/>
      <c r="K654" s="952"/>
      <c r="L654" s="952"/>
      <c r="M654" s="952"/>
      <c r="N654" s="952"/>
      <c r="O654" s="952"/>
      <c r="P654" s="952"/>
      <c r="Q654" s="952"/>
      <c r="R654" s="952"/>
      <c r="S654" s="952"/>
      <c r="T654" s="952"/>
      <c r="U654" s="952"/>
      <c r="V654" s="952"/>
      <c r="W654" s="952"/>
      <c r="X654" s="952"/>
      <c r="Y654" s="952"/>
      <c r="Z654" s="952"/>
      <c r="AA654" s="952"/>
      <c r="AB654" s="952"/>
      <c r="AC654" s="952"/>
      <c r="AD654" s="952"/>
      <c r="AE654" s="952"/>
      <c r="AF654" s="952"/>
      <c r="AG654" s="952"/>
      <c r="AH654" s="952"/>
      <c r="AI654" s="952"/>
      <c r="AJ654" s="952"/>
      <c r="AK654" s="952"/>
      <c r="AL654" s="952"/>
      <c r="AM654" s="952"/>
      <c r="AN654" s="952"/>
      <c r="AO654" s="952"/>
      <c r="AP654" s="952"/>
      <c r="AQ654" s="952"/>
      <c r="AR654" s="952"/>
      <c r="AS654" s="952"/>
      <c r="AT654" s="952"/>
      <c r="AU654" s="952"/>
      <c r="AV654" s="952"/>
      <c r="AW654" s="952"/>
      <c r="AX654" s="952"/>
      <c r="AY654" s="952"/>
      <c r="AZ654" s="952"/>
      <c r="BA654" s="952"/>
      <c r="BB654" s="952"/>
      <c r="BC654" s="952"/>
      <c r="BD654" s="952"/>
      <c r="BE654" s="952"/>
      <c r="BF654" s="952"/>
      <c r="BG654" s="952"/>
      <c r="BH654" s="953"/>
      <c r="BI654" s="971" t="str">
        <f ca="1">IFERROR(CHOOSE(MO.DataSourceIndex,_xll.BDP(MO.Ticker.Bloomberg&amp;" EQUITY","IEST_UNDERWRITING_PL","BEST_FPERIOD_OVERRIDE="&amp;INDEX(tb_ConsensusEstimate,3,COLUMN())&amp;INDEX(tb_ConsensusEstimate,2,COLUMN())),0,_xll.FDS(MO.Ticker.FactSet,"FE_ESTIMATE(UW_INCOME,MEAN,"&amp;INDEX(tb_ConsensusEstimate,2,COLUMN())&amp;",+"&amp;INDEX(tb_ConsensusEstimate,3,COLUMN())&amp;",NOW"&amp;",,,'CURRENCY="&amp;HP.ReportCurrency&amp;"')"),0),"N/A")</f>
        <v>N/A</v>
      </c>
      <c r="BJ654" s="971" t="str">
        <f ca="1">IFERROR(CHOOSE(MO.DataSourceIndex,_xll.BDP(MO.Ticker.Bloomberg&amp;" EQUITY","IEST_UNDERWRITING_PL","BEST_FPERIOD_OVERRIDE="&amp;INDEX(tb_ConsensusEstimate,3,COLUMN())&amp;INDEX(tb_ConsensusEstimate,2,COLUMN())),0,_xll.FDS(MO.Ticker.FactSet,"FE_ESTIMATE(UW_INCOME,MEAN,"&amp;INDEX(tb_ConsensusEstimate,2,COLUMN())&amp;",+"&amp;INDEX(tb_ConsensusEstimate,3,COLUMN())&amp;",NOW"&amp;",,,'CURRENCY="&amp;HP.ReportCurrency&amp;"')"),0),"N/A")</f>
        <v>N/A</v>
      </c>
      <c r="BK654" s="971" t="str">
        <f ca="1">IFERROR(CHOOSE(MO.DataSourceIndex,_xll.BDP(MO.Ticker.Bloomberg&amp;" EQUITY","IEST_UNDERWRITING_PL","BEST_FPERIOD_OVERRIDE="&amp;INDEX(tb_ConsensusEstimate,3,COLUMN())&amp;INDEX(tb_ConsensusEstimate,2,COLUMN())),0,_xll.FDS(MO.Ticker.FactSet,"FE_ESTIMATE(UW_INCOME,MEAN,"&amp;INDEX(tb_ConsensusEstimate,2,COLUMN())&amp;",+"&amp;INDEX(tb_ConsensusEstimate,3,COLUMN())&amp;",NOW"&amp;",,,'CURRENCY="&amp;HP.ReportCurrency&amp;"')"),0),"N/A")</f>
        <v>N/A</v>
      </c>
      <c r="BL654" s="971" t="str">
        <f ca="1">IFERROR(CHOOSE(MO.DataSourceIndex,_xll.BDP(MO.Ticker.Bloomberg&amp;" EQUITY","IEST_UNDERWRITING_PL","BEST_FPERIOD_OVERRIDE="&amp;INDEX(tb_ConsensusEstimate,3,COLUMN())&amp;INDEX(tb_ConsensusEstimate,2,COLUMN())),0,_xll.FDS(MO.Ticker.FactSet,"FE_ESTIMATE(UW_INCOME,MEAN,"&amp;INDEX(tb_ConsensusEstimate,2,COLUMN())&amp;",+"&amp;INDEX(tb_ConsensusEstimate,3,COLUMN())&amp;",NOW"&amp;",,,'CURRENCY="&amp;HP.ReportCurrency&amp;"')"),0),"N/A")</f>
        <v>N/A</v>
      </c>
      <c r="BM654" s="971" t="str">
        <f ca="1">IFERROR(CHOOSE(MO.DataSourceIndex,_xll.BDP(MO.Ticker.Bloomberg&amp;" EQUITY","IEST_UNDERWRITING_PL","BEST_FPERIOD_OVERRIDE="&amp;INDEX(tb_ConsensusEstimate,3,COLUMN())&amp;INDEX(tb_ConsensusEstimate,2,COLUMN())),0,_xll.FDS(MO.Ticker.FactSet,"FE_ESTIMATE(UW_INCOME,MEAN,"&amp;INDEX(tb_ConsensusEstimate,2,COLUMN())&amp;",+"&amp;INDEX(tb_ConsensusEstimate,3,COLUMN())&amp;",NOW"&amp;",,,'CURRENCY="&amp;HP.ReportCurrency&amp;"')"),0),"N/A")</f>
        <v>N/A</v>
      </c>
      <c r="BN654" s="971" t="str">
        <f ca="1">IFERROR(CHOOSE(MO.DataSourceIndex,_xll.BDP(MO.Ticker.Bloomberg&amp;" EQUITY","IEST_UNDERWRITING_PL","BEST_FPERIOD_OVERRIDE="&amp;INDEX(tb_ConsensusEstimate,3,COLUMN())&amp;INDEX(tb_ConsensusEstimate,2,COLUMN())),0,_xll.FDS(MO.Ticker.FactSet,"FE_ESTIMATE(UW_INCOME,MEAN,"&amp;INDEX(tb_ConsensusEstimate,2,COLUMN())&amp;",+"&amp;INDEX(tb_ConsensusEstimate,3,COLUMN())&amp;",NOW"&amp;",,,'CURRENCY="&amp;HP.ReportCurrency&amp;"')"),0),"N/A")</f>
        <v>N/A</v>
      </c>
      <c r="BO654" s="971" t="str">
        <f ca="1">IFERROR(CHOOSE(MO.DataSourceIndex,_xll.BDP(MO.Ticker.Bloomberg&amp;" EQUITY","IEST_UNDERWRITING_PL","BEST_FPERIOD_OVERRIDE="&amp;INDEX(tb_ConsensusEstimate,3,COLUMN())&amp;INDEX(tb_ConsensusEstimate,2,COLUMN())),0,_xll.FDS(MO.Ticker.FactSet,"FE_ESTIMATE(UW_INCOME,MEAN,"&amp;INDEX(tb_ConsensusEstimate,2,COLUMN())&amp;",+"&amp;INDEX(tb_ConsensusEstimate,3,COLUMN())&amp;",NOW"&amp;",,,'CURRENCY="&amp;HP.ReportCurrency&amp;"')"),0),"N/A")</f>
        <v>N/A</v>
      </c>
      <c r="BP654" s="971" t="str">
        <f ca="1">IFERROR(CHOOSE(MO.DataSourceIndex,_xll.BDP(MO.Ticker.Bloomberg&amp;" EQUITY","IEST_UNDERWRITING_PL","BEST_FPERIOD_OVERRIDE="&amp;INDEX(tb_ConsensusEstimate,3,COLUMN())&amp;INDEX(tb_ConsensusEstimate,2,COLUMN())),0,_xll.FDS(MO.Ticker.FactSet,"FE_ESTIMATE(UW_INCOME,MEAN,"&amp;INDEX(tb_ConsensusEstimate,2,COLUMN())&amp;",+"&amp;INDEX(tb_ConsensusEstimate,3,COLUMN())&amp;",NOW"&amp;",,,'CURRENCY="&amp;HP.ReportCurrency&amp;"')"),0),"N/A")</f>
        <v>N/A</v>
      </c>
      <c r="BQ654" s="971" t="str">
        <f ca="1">IFERROR(CHOOSE(MO.DataSourceIndex,_xll.BDP(MO.Ticker.Bloomberg&amp;" EQUITY","IEST_UNDERWRITING_PL","BEST_FPERIOD_OVERRIDE="&amp;INDEX(tb_ConsensusEstimate,3,COLUMN())&amp;INDEX(tb_ConsensusEstimate,2,COLUMN())),0,_xll.FDS(MO.Ticker.FactSet,"FE_ESTIMATE(UW_INCOME,MEAN,"&amp;INDEX(tb_ConsensusEstimate,2,COLUMN())&amp;",+"&amp;INDEX(tb_ConsensusEstimate,3,COLUMN())&amp;",NOW"&amp;",,,'CURRENCY="&amp;HP.ReportCurrency&amp;"')"),0),"N/A")</f>
        <v>N/A</v>
      </c>
      <c r="BR654" s="383" t="str">
        <f ca="1">IFERROR(CHOOSE(MO.DataSourceIndex,_xll.BDP(MO.Ticker.Bloomberg&amp;" EQUITY","IEST_UNDERWRITING_PL","BEST_FPERIOD_OVERRIDE="&amp;INDEX(tb_ConsensusEstimate,3,COLUMN())&amp;INDEX(tb_ConsensusEstimate,2,COLUMN())),0,_xll.FDS(MO.Ticker.FactSet,"FE_ESTIMATE(UW_INCOME,MEAN,"&amp;INDEX(tb_ConsensusEstimate,2,COLUMN())&amp;",+"&amp;INDEX(tb_ConsensusEstimate,3,COLUMN())&amp;",NOW"&amp;",,,'CURRENCY="&amp;HP.ReportCurrency&amp;"')"),0),"N/A")</f>
        <v>N/A</v>
      </c>
      <c r="BS654" s="365"/>
    </row>
    <row r="655" spans="1:71" s="667" customFormat="1" ht="15">
      <c r="A655" s="385" t="str">
        <f>$A$133</f>
        <v>Consensus Estimates - Adjusted Combined Ratio, %</v>
      </c>
      <c r="B655" s="952"/>
      <c r="C655" s="331"/>
      <c r="D655" s="331"/>
      <c r="E655" s="331"/>
      <c r="F655" s="331"/>
      <c r="G655" s="331"/>
      <c r="H655" s="952"/>
      <c r="I655" s="952"/>
      <c r="J655" s="952"/>
      <c r="K655" s="952"/>
      <c r="L655" s="952"/>
      <c r="M655" s="952"/>
      <c r="N655" s="952"/>
      <c r="O655" s="952"/>
      <c r="P655" s="952"/>
      <c r="Q655" s="952"/>
      <c r="R655" s="952"/>
      <c r="S655" s="952"/>
      <c r="T655" s="952"/>
      <c r="U655" s="952"/>
      <c r="V655" s="952"/>
      <c r="W655" s="952"/>
      <c r="X655" s="952"/>
      <c r="Y655" s="952"/>
      <c r="Z655" s="952"/>
      <c r="AA655" s="952"/>
      <c r="AB655" s="952"/>
      <c r="AC655" s="952"/>
      <c r="AD655" s="952"/>
      <c r="AE655" s="952"/>
      <c r="AF655" s="952"/>
      <c r="AG655" s="952"/>
      <c r="AH655" s="952"/>
      <c r="AI655" s="952"/>
      <c r="AJ655" s="952"/>
      <c r="AK655" s="952"/>
      <c r="AL655" s="952"/>
      <c r="AM655" s="952"/>
      <c r="AN655" s="952"/>
      <c r="AO655" s="952"/>
      <c r="AP655" s="952"/>
      <c r="AQ655" s="952"/>
      <c r="AR655" s="952"/>
      <c r="AS655" s="952"/>
      <c r="AT655" s="952"/>
      <c r="AU655" s="952"/>
      <c r="AV655" s="952"/>
      <c r="AW655" s="952"/>
      <c r="AX655" s="952"/>
      <c r="AY655" s="952"/>
      <c r="AZ655" s="952"/>
      <c r="BA655" s="952"/>
      <c r="BB655" s="952"/>
      <c r="BC655" s="952"/>
      <c r="BD655" s="952"/>
      <c r="BE655" s="952"/>
      <c r="BF655" s="952"/>
      <c r="BG655" s="952"/>
      <c r="BH655" s="953"/>
      <c r="BI655" s="971" t="str">
        <f ca="1">IFERROR(CHOOSE(MO.DataSourceIndex,_xll.BDP(MO.Ticker.Bloomberg&amp;" EQUITY","IEST_COMBINED_RATIO","BEST_FPERIOD_OVERRIDE="&amp;INDEX(tb_ConsensusEstimate,3,COLUMN())&amp;INDEX(tb_ConsensusEstimate,2,COLUMN())),0,_xll.FDS(MO.Ticker.FactSet,"FE_ESTIMATE(COMBINED_RATIO,MEAN,"&amp;INDEX(tb_ConsensusEstimate,2,COLUMN())&amp;",+"&amp;INDEX(tb_ConsensusEstimate,3,COLUMN())&amp;",NOW,,,'')"),_xll.TR(MO.Ticker.Thomson,"ZAV(TR.CombinedRatioMean)","Period="&amp;INDEX(tb_ConsensusEstimate,2,COLUMN())&amp;INDEX(tb_ConsensusEstimate,3,COLUMN())))/100,"N/A")</f>
        <v>N/A</v>
      </c>
      <c r="BJ655" s="971" t="str">
        <f ca="1">IFERROR(CHOOSE(MO.DataSourceIndex,_xll.BDP(MO.Ticker.Bloomberg&amp;" EQUITY","IEST_COMBINED_RATIO","BEST_FPERIOD_OVERRIDE="&amp;INDEX(tb_ConsensusEstimate,3,COLUMN())&amp;INDEX(tb_ConsensusEstimate,2,COLUMN())),0,_xll.FDS(MO.Ticker.FactSet,"FE_ESTIMATE(COMBINED_RATIO,MEAN,"&amp;INDEX(tb_ConsensusEstimate,2,COLUMN())&amp;",+"&amp;INDEX(tb_ConsensusEstimate,3,COLUMN())&amp;",NOW,,,'')"),_xll.TR(MO.Ticker.Thomson,"ZAV(TR.CombinedRatioMean)","Period="&amp;INDEX(tb_ConsensusEstimate,2,COLUMN())&amp;INDEX(tb_ConsensusEstimate,3,COLUMN())))/100,"N/A")</f>
        <v>N/A</v>
      </c>
      <c r="BK655" s="971" t="str">
        <f ca="1">IFERROR(CHOOSE(MO.DataSourceIndex,_xll.BDP(MO.Ticker.Bloomberg&amp;" EQUITY","IEST_COMBINED_RATIO","BEST_FPERIOD_OVERRIDE="&amp;INDEX(tb_ConsensusEstimate,3,COLUMN())&amp;INDEX(tb_ConsensusEstimate,2,COLUMN())),0,_xll.FDS(MO.Ticker.FactSet,"FE_ESTIMATE(COMBINED_RATIO,MEAN,"&amp;INDEX(tb_ConsensusEstimate,2,COLUMN())&amp;",+"&amp;INDEX(tb_ConsensusEstimate,3,COLUMN())&amp;",NOW,,,'')"),_xll.TR(MO.Ticker.Thomson,"ZAV(TR.CombinedRatioMean)","Period="&amp;INDEX(tb_ConsensusEstimate,2,COLUMN())&amp;INDEX(tb_ConsensusEstimate,3,COLUMN())))/100,"N/A")</f>
        <v>N/A</v>
      </c>
      <c r="BL655" s="971" t="str">
        <f ca="1">IFERROR(CHOOSE(MO.DataSourceIndex,_xll.BDP(MO.Ticker.Bloomberg&amp;" EQUITY","IEST_COMBINED_RATIO","BEST_FPERIOD_OVERRIDE="&amp;INDEX(tb_ConsensusEstimate,3,COLUMN())&amp;INDEX(tb_ConsensusEstimate,2,COLUMN())),0,_xll.FDS(MO.Ticker.FactSet,"FE_ESTIMATE(COMBINED_RATIO,MEAN,"&amp;INDEX(tb_ConsensusEstimate,2,COLUMN())&amp;",+"&amp;INDEX(tb_ConsensusEstimate,3,COLUMN())&amp;",NOW,,,'')"),_xll.TR(MO.Ticker.Thomson,"ZAV(TR.CombinedRatioMean)","Period="&amp;INDEX(tb_ConsensusEstimate,2,COLUMN())&amp;INDEX(tb_ConsensusEstimate,3,COLUMN())))/100,"N/A")</f>
        <v>N/A</v>
      </c>
      <c r="BM655" s="971" t="str">
        <f ca="1">IFERROR(CHOOSE(MO.DataSourceIndex,_xll.BDP(MO.Ticker.Bloomberg&amp;" EQUITY","IEST_COMBINED_RATIO","BEST_FPERIOD_OVERRIDE="&amp;INDEX(tb_ConsensusEstimate,3,COLUMN())&amp;INDEX(tb_ConsensusEstimate,2,COLUMN())),0,_xll.FDS(MO.Ticker.FactSet,"FE_ESTIMATE(COMBINED_RATIO,MEAN,"&amp;INDEX(tb_ConsensusEstimate,2,COLUMN())&amp;",+"&amp;INDEX(tb_ConsensusEstimate,3,COLUMN())&amp;",NOW,,,'')"),_xll.TR(MO.Ticker.Thomson,"ZAV(TR.CombinedRatioMean)","Period="&amp;INDEX(tb_ConsensusEstimate,2,COLUMN())&amp;INDEX(tb_ConsensusEstimate,3,COLUMN())))/100,"N/A")</f>
        <v>N/A</v>
      </c>
      <c r="BN655" s="971" t="str">
        <f ca="1">IFERROR(CHOOSE(MO.DataSourceIndex,_xll.BDP(MO.Ticker.Bloomberg&amp;" EQUITY","IEST_COMBINED_RATIO","BEST_FPERIOD_OVERRIDE="&amp;INDEX(tb_ConsensusEstimate,3,COLUMN())&amp;INDEX(tb_ConsensusEstimate,2,COLUMN())),0,_xll.FDS(MO.Ticker.FactSet,"FE_ESTIMATE(COMBINED_RATIO,MEAN,"&amp;INDEX(tb_ConsensusEstimate,2,COLUMN())&amp;",+"&amp;INDEX(tb_ConsensusEstimate,3,COLUMN())&amp;",NOW,,,'')"),_xll.TR(MO.Ticker.Thomson,"ZAV(TR.CombinedRatioMean)","Period="&amp;INDEX(tb_ConsensusEstimate,2,COLUMN())&amp;INDEX(tb_ConsensusEstimate,3,COLUMN())))/100,"N/A")</f>
        <v>N/A</v>
      </c>
      <c r="BO655" s="971" t="str">
        <f ca="1">IFERROR(CHOOSE(MO.DataSourceIndex,_xll.BDP(MO.Ticker.Bloomberg&amp;" EQUITY","IEST_COMBINED_RATIO","BEST_FPERIOD_OVERRIDE="&amp;INDEX(tb_ConsensusEstimate,3,COLUMN())&amp;INDEX(tb_ConsensusEstimate,2,COLUMN())),0,_xll.FDS(MO.Ticker.FactSet,"FE_ESTIMATE(COMBINED_RATIO,MEAN,"&amp;INDEX(tb_ConsensusEstimate,2,COLUMN())&amp;",+"&amp;INDEX(tb_ConsensusEstimate,3,COLUMN())&amp;",NOW,,,'')"),_xll.TR(MO.Ticker.Thomson,"ZAV(TR.CombinedRatioMean)","Period="&amp;INDEX(tb_ConsensusEstimate,2,COLUMN())&amp;INDEX(tb_ConsensusEstimate,3,COLUMN())))/100,"N/A")</f>
        <v>N/A</v>
      </c>
      <c r="BP655" s="971" t="str">
        <f ca="1">IFERROR(CHOOSE(MO.DataSourceIndex,_xll.BDP(MO.Ticker.Bloomberg&amp;" EQUITY","IEST_COMBINED_RATIO","BEST_FPERIOD_OVERRIDE="&amp;INDEX(tb_ConsensusEstimate,3,COLUMN())&amp;INDEX(tb_ConsensusEstimate,2,COLUMN())),0,_xll.FDS(MO.Ticker.FactSet,"FE_ESTIMATE(COMBINED_RATIO,MEAN,"&amp;INDEX(tb_ConsensusEstimate,2,COLUMN())&amp;",+"&amp;INDEX(tb_ConsensusEstimate,3,COLUMN())&amp;",NOW,,,'')"),_xll.TR(MO.Ticker.Thomson,"ZAV(TR.CombinedRatioMean)","Period="&amp;INDEX(tb_ConsensusEstimate,2,COLUMN())&amp;INDEX(tb_ConsensusEstimate,3,COLUMN())))/100,"N/A")</f>
        <v>N/A</v>
      </c>
      <c r="BQ655" s="971" t="str">
        <f ca="1">IFERROR(CHOOSE(MO.DataSourceIndex,_xll.BDP(MO.Ticker.Bloomberg&amp;" EQUITY","IEST_COMBINED_RATIO","BEST_FPERIOD_OVERRIDE="&amp;INDEX(tb_ConsensusEstimate,3,COLUMN())&amp;INDEX(tb_ConsensusEstimate,2,COLUMN())),0,_xll.FDS(MO.Ticker.FactSet,"FE_ESTIMATE(COMBINED_RATIO,MEAN,"&amp;INDEX(tb_ConsensusEstimate,2,COLUMN())&amp;",+"&amp;INDEX(tb_ConsensusEstimate,3,COLUMN())&amp;",NOW,,,'')"),_xll.TR(MO.Ticker.Thomson,"ZAV(TR.CombinedRatioMean)","Period="&amp;INDEX(tb_ConsensusEstimate,2,COLUMN())&amp;INDEX(tb_ConsensusEstimate,3,COLUMN())))/100,"N/A")</f>
        <v>N/A</v>
      </c>
      <c r="BR655" s="383" t="str">
        <f ca="1">IFERROR(CHOOSE(MO.DataSourceIndex,_xll.BDP(MO.Ticker.Bloomberg&amp;" EQUITY","IEST_COMBINED_RATIO","BEST_FPERIOD_OVERRIDE="&amp;INDEX(tb_ConsensusEstimate,3,COLUMN())&amp;INDEX(tb_ConsensusEstimate,2,COLUMN())),0,_xll.FDS(MO.Ticker.FactSet,"FE_ESTIMATE(COMBINED_RATIO,MEAN,"&amp;INDEX(tb_ConsensusEstimate,2,COLUMN())&amp;",+"&amp;INDEX(tb_ConsensusEstimate,3,COLUMN())&amp;",NOW,,,'')"),_xll.TR(MO.Ticker.Thomson,"ZAV(TR.CombinedRatioMean)","Period="&amp;INDEX(tb_ConsensusEstimate,2,COLUMN())&amp;INDEX(tb_ConsensusEstimate,3,COLUMN())))/100,"N/A")</f>
        <v>N/A</v>
      </c>
      <c r="BS655" s="365"/>
    </row>
    <row r="656" spans="1:71" s="667" customFormat="1" ht="15">
      <c r="A656" s="385" t="str">
        <f>$A$268</f>
        <v>Consensus Estimates - Net Revenue</v>
      </c>
      <c r="B656" s="952"/>
      <c r="C656" s="330"/>
      <c r="D656" s="330"/>
      <c r="E656" s="330"/>
      <c r="F656" s="330"/>
      <c r="G656" s="330"/>
      <c r="H656" s="952"/>
      <c r="I656" s="952"/>
      <c r="J656" s="952"/>
      <c r="K656" s="952"/>
      <c r="L656" s="952"/>
      <c r="M656" s="952"/>
      <c r="N656" s="952"/>
      <c r="O656" s="952"/>
      <c r="P656" s="952"/>
      <c r="Q656" s="952"/>
      <c r="R656" s="952"/>
      <c r="S656" s="952"/>
      <c r="T656" s="952"/>
      <c r="U656" s="952"/>
      <c r="V656" s="952"/>
      <c r="W656" s="952"/>
      <c r="X656" s="952"/>
      <c r="Y656" s="952"/>
      <c r="Z656" s="952"/>
      <c r="AA656" s="952"/>
      <c r="AB656" s="952"/>
      <c r="AC656" s="952"/>
      <c r="AD656" s="952"/>
      <c r="AE656" s="952"/>
      <c r="AF656" s="952"/>
      <c r="AG656" s="952"/>
      <c r="AH656" s="952"/>
      <c r="AI656" s="952"/>
      <c r="AJ656" s="952"/>
      <c r="AK656" s="952"/>
      <c r="AL656" s="952"/>
      <c r="AM656" s="952"/>
      <c r="AN656" s="952"/>
      <c r="AO656" s="952"/>
      <c r="AP656" s="952"/>
      <c r="AQ656" s="952"/>
      <c r="AR656" s="952"/>
      <c r="AS656" s="952"/>
      <c r="AT656" s="952"/>
      <c r="AU656" s="952"/>
      <c r="AV656" s="952"/>
      <c r="AW656" s="952"/>
      <c r="AX656" s="952"/>
      <c r="AY656" s="952"/>
      <c r="AZ656" s="952"/>
      <c r="BA656" s="952"/>
      <c r="BB656" s="952"/>
      <c r="BC656" s="952"/>
      <c r="BD656" s="952"/>
      <c r="BE656" s="952"/>
      <c r="BF656" s="952"/>
      <c r="BG656" s="952"/>
      <c r="BH656" s="953"/>
      <c r="BI656" s="971" t="str">
        <f ca="1">IFERROR(CHOOSE(MO.DataSourceIndex,_xll.BDP(MO.Ticker.Bloomberg&amp;" EQUITY","BEST_SALES","BEST_FPERIOD_OVERRIDE="&amp;INDEX(tb_ConsensusEstimate,3,COLUMN())&amp;INDEX(tb_ConsensusEstimate,2,COLUMN())),_xll.CIQ(MO.Ticker.CapIQ,"IQ_REVENUE_EST","IQ_"&amp;INDEX(tb_ConsensusEstimate,2,COLUMN())&amp;"+"&amp;INDEX(tb_ConsensusEstimate,3,COLUMN())),_xll.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J656" s="971" t="str">
        <f ca="1">IFERROR(CHOOSE(MO.DataSourceIndex,_xll.BDP(MO.Ticker.Bloomberg&amp;" EQUITY","BEST_SALES","BEST_FPERIOD_OVERRIDE="&amp;INDEX(tb_ConsensusEstimate,3,COLUMN())&amp;INDEX(tb_ConsensusEstimate,2,COLUMN())),_xll.CIQ(MO.Ticker.CapIQ,"IQ_REVENUE_EST","IQ_"&amp;INDEX(tb_ConsensusEstimate,2,COLUMN())&amp;"+"&amp;INDEX(tb_ConsensusEstimate,3,COLUMN())),_xll.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K656" s="971" t="str">
        <f ca="1">IFERROR(CHOOSE(MO.DataSourceIndex,_xll.BDP(MO.Ticker.Bloomberg&amp;" EQUITY","BEST_SALES","BEST_FPERIOD_OVERRIDE="&amp;INDEX(tb_ConsensusEstimate,3,COLUMN())&amp;INDEX(tb_ConsensusEstimate,2,COLUMN())),_xll.CIQ(MO.Ticker.CapIQ,"IQ_REVENUE_EST","IQ_"&amp;INDEX(tb_ConsensusEstimate,2,COLUMN())&amp;"+"&amp;INDEX(tb_ConsensusEstimate,3,COLUMN())),_xll.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L656" s="971" t="str">
        <f ca="1">IFERROR(CHOOSE(MO.DataSourceIndex,_xll.BDP(MO.Ticker.Bloomberg&amp;" EQUITY","BEST_SALES","BEST_FPERIOD_OVERRIDE="&amp;INDEX(tb_ConsensusEstimate,3,COLUMN())&amp;INDEX(tb_ConsensusEstimate,2,COLUMN())),_xll.CIQ(MO.Ticker.CapIQ,"IQ_REVENUE_EST","IQ_"&amp;INDEX(tb_ConsensusEstimate,2,COLUMN())&amp;"+"&amp;INDEX(tb_ConsensusEstimate,3,COLUMN())),_xll.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M656" s="971" t="str">
        <f ca="1">IFERROR(CHOOSE(MO.DataSourceIndex,_xll.BDP(MO.Ticker.Bloomberg&amp;" EQUITY","BEST_SALES","BEST_FPERIOD_OVERRIDE="&amp;INDEX(tb_ConsensusEstimate,3,COLUMN())&amp;INDEX(tb_ConsensusEstimate,2,COLUMN())),_xll.CIQ(MO.Ticker.CapIQ,"IQ_REVENUE_EST","IQ_"&amp;INDEX(tb_ConsensusEstimate,2,COLUMN())&amp;"+"&amp;INDEX(tb_ConsensusEstimate,3,COLUMN())),_xll.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N656" s="971" t="str">
        <f ca="1">IFERROR(CHOOSE(MO.DataSourceIndex,_xll.BDP(MO.Ticker.Bloomberg&amp;" EQUITY","BEST_SALES","BEST_FPERIOD_OVERRIDE="&amp;INDEX(tb_ConsensusEstimate,3,COLUMN())&amp;INDEX(tb_ConsensusEstimate,2,COLUMN())),_xll.CIQ(MO.Ticker.CapIQ,"IQ_REVENUE_EST","IQ_"&amp;INDEX(tb_ConsensusEstimate,2,COLUMN())&amp;"+"&amp;INDEX(tb_ConsensusEstimate,3,COLUMN())),_xll.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O656" s="971" t="str">
        <f ca="1">IFERROR(CHOOSE(MO.DataSourceIndex,_xll.BDP(MO.Ticker.Bloomberg&amp;" EQUITY","BEST_SALES","BEST_FPERIOD_OVERRIDE="&amp;INDEX(tb_ConsensusEstimate,3,COLUMN())&amp;INDEX(tb_ConsensusEstimate,2,COLUMN())),_xll.CIQ(MO.Ticker.CapIQ,"IQ_REVENUE_EST","IQ_"&amp;INDEX(tb_ConsensusEstimate,2,COLUMN())&amp;"+"&amp;INDEX(tb_ConsensusEstimate,3,COLUMN())),_xll.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P656" s="971" t="str">
        <f ca="1">IFERROR(CHOOSE(MO.DataSourceIndex,_xll.BDP(MO.Ticker.Bloomberg&amp;" EQUITY","BEST_SALES","BEST_FPERIOD_OVERRIDE="&amp;INDEX(tb_ConsensusEstimate,3,COLUMN())&amp;INDEX(tb_ConsensusEstimate,2,COLUMN())),_xll.CIQ(MO.Ticker.CapIQ,"IQ_REVENUE_EST","IQ_"&amp;INDEX(tb_ConsensusEstimate,2,COLUMN())&amp;"+"&amp;INDEX(tb_ConsensusEstimate,3,COLUMN())),_xll.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Q656" s="971" t="str">
        <f ca="1">IFERROR(CHOOSE(MO.DataSourceIndex,_xll.BDP(MO.Ticker.Bloomberg&amp;" EQUITY","BEST_SALES","BEST_FPERIOD_OVERRIDE="&amp;INDEX(tb_ConsensusEstimate,3,COLUMN())&amp;INDEX(tb_ConsensusEstimate,2,COLUMN())),_xll.CIQ(MO.Ticker.CapIQ,"IQ_REVENUE_EST","IQ_"&amp;INDEX(tb_ConsensusEstimate,2,COLUMN())&amp;"+"&amp;INDEX(tb_ConsensusEstimate,3,COLUMN())),_xll.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R656" s="383" t="str">
        <f ca="1">IFERROR(CHOOSE(MO.DataSourceIndex,_xll.BDP(MO.Ticker.Bloomberg&amp;" EQUITY","BEST_SALES","BEST_FPERIOD_OVERRIDE="&amp;INDEX(tb_ConsensusEstimate,3,COLUMN())&amp;INDEX(tb_ConsensusEstimate,2,COLUMN())),_xll.CIQ(MO.Ticker.CapIQ,"IQ_REVENUE_EST","IQ_"&amp;INDEX(tb_ConsensusEstimate,2,COLUMN())&amp;"+"&amp;INDEX(tb_ConsensusEstimate,3,COLUMN())),_xll.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S656" s="365"/>
    </row>
    <row r="657" spans="1:71" s="667" customFormat="1" ht="15">
      <c r="A657" s="385" t="str">
        <f>$A$276</f>
        <v>Consensus Estimates - EBT</v>
      </c>
      <c r="B657" s="952"/>
      <c r="C657" s="330"/>
      <c r="D657" s="330"/>
      <c r="E657" s="330"/>
      <c r="F657" s="330"/>
      <c r="G657" s="330"/>
      <c r="H657" s="952"/>
      <c r="I657" s="952"/>
      <c r="J657" s="952"/>
      <c r="K657" s="952"/>
      <c r="L657" s="952"/>
      <c r="M657" s="952"/>
      <c r="N657" s="952"/>
      <c r="O657" s="952"/>
      <c r="P657" s="952"/>
      <c r="Q657" s="952"/>
      <c r="R657" s="952"/>
      <c r="S657" s="952"/>
      <c r="T657" s="952"/>
      <c r="U657" s="952"/>
      <c r="V657" s="952"/>
      <c r="W657" s="952"/>
      <c r="X657" s="952"/>
      <c r="Y657" s="952"/>
      <c r="Z657" s="952"/>
      <c r="AA657" s="952"/>
      <c r="AB657" s="952"/>
      <c r="AC657" s="952"/>
      <c r="AD657" s="952"/>
      <c r="AE657" s="952"/>
      <c r="AF657" s="952"/>
      <c r="AG657" s="952"/>
      <c r="AH657" s="952"/>
      <c r="AI657" s="952"/>
      <c r="AJ657" s="952"/>
      <c r="AK657" s="952"/>
      <c r="AL657" s="952"/>
      <c r="AM657" s="952"/>
      <c r="AN657" s="952"/>
      <c r="AO657" s="952"/>
      <c r="AP657" s="952"/>
      <c r="AQ657" s="952"/>
      <c r="AR657" s="952"/>
      <c r="AS657" s="952"/>
      <c r="AT657" s="952"/>
      <c r="AU657" s="952"/>
      <c r="AV657" s="952"/>
      <c r="AW657" s="952"/>
      <c r="AX657" s="952"/>
      <c r="AY657" s="952"/>
      <c r="AZ657" s="952"/>
      <c r="BA657" s="952"/>
      <c r="BB657" s="952"/>
      <c r="BC657" s="952"/>
      <c r="BD657" s="952"/>
      <c r="BE657" s="952"/>
      <c r="BF657" s="952"/>
      <c r="BG657" s="952"/>
      <c r="BH657" s="953"/>
      <c r="BI657" s="971" t="str">
        <f ca="1">IFERROR(CHOOSE(MO.DataSourceIndex,_xll.BDP(MO.Ticker.Bloomberg&amp;" EQUITY","BEST_PTP","BEST_FPERIOD_OVERRIDE="&amp;INDEX(tb_ConsensusEstimate,3,COLUMN())&amp;INDEX(tb_ConsensusEstimate,2,COLUMN())),0,_xll.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J657" s="971" t="str">
        <f ca="1">IFERROR(CHOOSE(MO.DataSourceIndex,_xll.BDP(MO.Ticker.Bloomberg&amp;" EQUITY","BEST_PTP","BEST_FPERIOD_OVERRIDE="&amp;INDEX(tb_ConsensusEstimate,3,COLUMN())&amp;INDEX(tb_ConsensusEstimate,2,COLUMN())),0,_xll.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K657" s="971" t="str">
        <f ca="1">IFERROR(CHOOSE(MO.DataSourceIndex,_xll.BDP(MO.Ticker.Bloomberg&amp;" EQUITY","BEST_PTP","BEST_FPERIOD_OVERRIDE="&amp;INDEX(tb_ConsensusEstimate,3,COLUMN())&amp;INDEX(tb_ConsensusEstimate,2,COLUMN())),0,_xll.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L657" s="971" t="str">
        <f ca="1">IFERROR(CHOOSE(MO.DataSourceIndex,_xll.BDP(MO.Ticker.Bloomberg&amp;" EQUITY","BEST_PTP","BEST_FPERIOD_OVERRIDE="&amp;INDEX(tb_ConsensusEstimate,3,COLUMN())&amp;INDEX(tb_ConsensusEstimate,2,COLUMN())),0,_xll.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M657" s="971" t="str">
        <f ca="1">IFERROR(CHOOSE(MO.DataSourceIndex,_xll.BDP(MO.Ticker.Bloomberg&amp;" EQUITY","BEST_PTP","BEST_FPERIOD_OVERRIDE="&amp;INDEX(tb_ConsensusEstimate,3,COLUMN())&amp;INDEX(tb_ConsensusEstimate,2,COLUMN())),0,_xll.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N657" s="971" t="str">
        <f ca="1">IFERROR(CHOOSE(MO.DataSourceIndex,_xll.BDP(MO.Ticker.Bloomberg&amp;" EQUITY","BEST_PTP","BEST_FPERIOD_OVERRIDE="&amp;INDEX(tb_ConsensusEstimate,3,COLUMN())&amp;INDEX(tb_ConsensusEstimate,2,COLUMN())),0,_xll.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O657" s="971" t="str">
        <f ca="1">IFERROR(CHOOSE(MO.DataSourceIndex,_xll.BDP(MO.Ticker.Bloomberg&amp;" EQUITY","BEST_PTP","BEST_FPERIOD_OVERRIDE="&amp;INDEX(tb_ConsensusEstimate,3,COLUMN())&amp;INDEX(tb_ConsensusEstimate,2,COLUMN())),0,_xll.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P657" s="971" t="str">
        <f ca="1">IFERROR(CHOOSE(MO.DataSourceIndex,_xll.BDP(MO.Ticker.Bloomberg&amp;" EQUITY","BEST_PTP","BEST_FPERIOD_OVERRIDE="&amp;INDEX(tb_ConsensusEstimate,3,COLUMN())&amp;INDEX(tb_ConsensusEstimate,2,COLUMN())),0,_xll.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Q657" s="971" t="str">
        <f ca="1">IFERROR(CHOOSE(MO.DataSourceIndex,_xll.BDP(MO.Ticker.Bloomberg&amp;" EQUITY","BEST_PTP","BEST_FPERIOD_OVERRIDE="&amp;INDEX(tb_ConsensusEstimate,3,COLUMN())&amp;INDEX(tb_ConsensusEstimate,2,COLUMN())),0,_xll.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R657" s="383" t="str">
        <f ca="1">IFERROR(CHOOSE(MO.DataSourceIndex,_xll.BDP(MO.Ticker.Bloomberg&amp;" EQUITY","BEST_PTP","BEST_FPERIOD_OVERRIDE="&amp;INDEX(tb_ConsensusEstimate,3,COLUMN())&amp;INDEX(tb_ConsensusEstimate,2,COLUMN())),0,_xll.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S657" s="365"/>
    </row>
    <row r="658" spans="1:71" s="667" customFormat="1" ht="15">
      <c r="A658" s="385" t="str">
        <f>$A$298</f>
        <v>Consensus Estimates - Core Net Operating Earnings Per Share - WAD</v>
      </c>
      <c r="B658" s="952"/>
      <c r="C658" s="332"/>
      <c r="D658" s="332"/>
      <c r="E658" s="332"/>
      <c r="F658" s="332"/>
      <c r="G658" s="332"/>
      <c r="H658" s="952"/>
      <c r="I658" s="952"/>
      <c r="J658" s="952"/>
      <c r="K658" s="952"/>
      <c r="L658" s="952"/>
      <c r="M658" s="952"/>
      <c r="N658" s="952"/>
      <c r="O658" s="952"/>
      <c r="P658" s="952"/>
      <c r="Q658" s="952"/>
      <c r="R658" s="952"/>
      <c r="S658" s="952"/>
      <c r="T658" s="952"/>
      <c r="U658" s="952"/>
      <c r="V658" s="952"/>
      <c r="W658" s="952"/>
      <c r="X658" s="952"/>
      <c r="Y658" s="952"/>
      <c r="Z658" s="952"/>
      <c r="AA658" s="952"/>
      <c r="AB658" s="952"/>
      <c r="AC658" s="952"/>
      <c r="AD658" s="952"/>
      <c r="AE658" s="952"/>
      <c r="AF658" s="952"/>
      <c r="AG658" s="952"/>
      <c r="AH658" s="952"/>
      <c r="AI658" s="952"/>
      <c r="AJ658" s="952"/>
      <c r="AK658" s="952"/>
      <c r="AL658" s="952"/>
      <c r="AM658" s="952"/>
      <c r="AN658" s="952"/>
      <c r="AO658" s="952"/>
      <c r="AP658" s="952"/>
      <c r="AQ658" s="952"/>
      <c r="AR658" s="952"/>
      <c r="AS658" s="952"/>
      <c r="AT658" s="952"/>
      <c r="AU658" s="952"/>
      <c r="AV658" s="952"/>
      <c r="AW658" s="952"/>
      <c r="AX658" s="952"/>
      <c r="AY658" s="952"/>
      <c r="AZ658" s="952"/>
      <c r="BA658" s="952"/>
      <c r="BB658" s="952"/>
      <c r="BC658" s="952"/>
      <c r="BD658" s="952"/>
      <c r="BE658" s="952"/>
      <c r="BF658" s="952"/>
      <c r="BG658" s="952"/>
      <c r="BH658" s="953"/>
      <c r="BI658" s="971" t="str">
        <f ca="1">IFERROR(CHOOSE(MO.DataSourceIndex,_xll.BDP(MO.Ticker.Bloomberg&amp;" EQUITY","BEST_EPS","BEST_FPERIOD_OVERRIDE="&amp;INDEX(tb_ConsensusEstimate,3,COLUMN())&amp;INDEX(tb_ConsensusEstimate,2,COLUMN())),_xll.CIQ(MO.Ticker.CapIQ,"IQ_EPS_NORM_EST","IQ_"&amp;INDEX(tb_ConsensusEstimate,2,COLUMN())&amp;"+"&amp;INDEX(tb_ConsensusEstimate,3,COLUMN())),_xll.FDS(MO.Ticker.FactSet,"FE_ESTIMATE(EPS,MEAN,"&amp;INDEX(tb_ConsensusEstimate,2,COLUMN())&amp;",+"&amp;INDEX(tb_ConsensusEstimate,3,COLUMN())&amp;",NOW"&amp;",,,'CURRENCY="&amp;HP.ReportCurrency&amp;"')"),_xll.TR(MO.Ticker.Thomson,"ZAV(TR.EPSMean)","Period="&amp;INDEX(tb_ConsensusEstimate,2,COLUMN())&amp;INDEX(tb_ConsensusEstimate,3,COLUMN()))),"N/A")</f>
        <v>N/A</v>
      </c>
      <c r="BJ658" s="971" t="str">
        <f ca="1">IFERROR(CHOOSE(MO.DataSourceIndex,_xll.BDP(MO.Ticker.Bloomberg&amp;" EQUITY","BEST_EPS","BEST_FPERIOD_OVERRIDE="&amp;INDEX(tb_ConsensusEstimate,3,COLUMN())&amp;INDEX(tb_ConsensusEstimate,2,COLUMN())),_xll.CIQ(MO.Ticker.CapIQ,"IQ_EPS_NORM_EST","IQ_"&amp;INDEX(tb_ConsensusEstimate,2,COLUMN())&amp;"+"&amp;INDEX(tb_ConsensusEstimate,3,COLUMN())),_xll.FDS(MO.Ticker.FactSet,"FE_ESTIMATE(EPS,MEAN,"&amp;INDEX(tb_ConsensusEstimate,2,COLUMN())&amp;",+"&amp;INDEX(tb_ConsensusEstimate,3,COLUMN())&amp;",NOW"&amp;",,,'CURRENCY="&amp;HP.ReportCurrency&amp;"')"),_xll.TR(MO.Ticker.Thomson,"ZAV(TR.EPSMean)","Period="&amp;INDEX(tb_ConsensusEstimate,2,COLUMN())&amp;INDEX(tb_ConsensusEstimate,3,COLUMN()))),"N/A")</f>
        <v>N/A</v>
      </c>
      <c r="BK658" s="971" t="str">
        <f ca="1">IFERROR(CHOOSE(MO.DataSourceIndex,_xll.BDP(MO.Ticker.Bloomberg&amp;" EQUITY","BEST_EPS","BEST_FPERIOD_OVERRIDE="&amp;INDEX(tb_ConsensusEstimate,3,COLUMN())&amp;INDEX(tb_ConsensusEstimate,2,COLUMN())),_xll.CIQ(MO.Ticker.CapIQ,"IQ_EPS_NORM_EST","IQ_"&amp;INDEX(tb_ConsensusEstimate,2,COLUMN())&amp;"+"&amp;INDEX(tb_ConsensusEstimate,3,COLUMN())),_xll.FDS(MO.Ticker.FactSet,"FE_ESTIMATE(EPS,MEAN,"&amp;INDEX(tb_ConsensusEstimate,2,COLUMN())&amp;",+"&amp;INDEX(tb_ConsensusEstimate,3,COLUMN())&amp;",NOW"&amp;",,,'CURRENCY="&amp;HP.ReportCurrency&amp;"')"),_xll.TR(MO.Ticker.Thomson,"ZAV(TR.EPSMean)","Period="&amp;INDEX(tb_ConsensusEstimate,2,COLUMN())&amp;INDEX(tb_ConsensusEstimate,3,COLUMN()))),"N/A")</f>
        <v>N/A</v>
      </c>
      <c r="BL658" s="971" t="str">
        <f ca="1">IFERROR(CHOOSE(MO.DataSourceIndex,_xll.BDP(MO.Ticker.Bloomberg&amp;" EQUITY","BEST_EPS","BEST_FPERIOD_OVERRIDE="&amp;INDEX(tb_ConsensusEstimate,3,COLUMN())&amp;INDEX(tb_ConsensusEstimate,2,COLUMN())),_xll.CIQ(MO.Ticker.CapIQ,"IQ_EPS_NORM_EST","IQ_"&amp;INDEX(tb_ConsensusEstimate,2,COLUMN())&amp;"+"&amp;INDEX(tb_ConsensusEstimate,3,COLUMN())),_xll.FDS(MO.Ticker.FactSet,"FE_ESTIMATE(EPS,MEAN,"&amp;INDEX(tb_ConsensusEstimate,2,COLUMN())&amp;",+"&amp;INDEX(tb_ConsensusEstimate,3,COLUMN())&amp;",NOW"&amp;",,,'CURRENCY="&amp;HP.ReportCurrency&amp;"')"),_xll.TR(MO.Ticker.Thomson,"ZAV(TR.EPSMean)","Period="&amp;INDEX(tb_ConsensusEstimate,2,COLUMN())&amp;INDEX(tb_ConsensusEstimate,3,COLUMN()))),"N/A")</f>
        <v>N/A</v>
      </c>
      <c r="BM658" s="971" t="str">
        <f ca="1">IFERROR(CHOOSE(MO.DataSourceIndex,_xll.BDP(MO.Ticker.Bloomberg&amp;" EQUITY","BEST_EPS","BEST_FPERIOD_OVERRIDE="&amp;INDEX(tb_ConsensusEstimate,3,COLUMN())&amp;INDEX(tb_ConsensusEstimate,2,COLUMN())),_xll.CIQ(MO.Ticker.CapIQ,"IQ_EPS_NORM_EST","IQ_"&amp;INDEX(tb_ConsensusEstimate,2,COLUMN())&amp;"+"&amp;INDEX(tb_ConsensusEstimate,3,COLUMN())),_xll.FDS(MO.Ticker.FactSet,"FE_ESTIMATE(EPS,MEAN,"&amp;INDEX(tb_ConsensusEstimate,2,COLUMN())&amp;",+"&amp;INDEX(tb_ConsensusEstimate,3,COLUMN())&amp;",NOW"&amp;",,,'CURRENCY="&amp;HP.ReportCurrency&amp;"')"),_xll.TR(MO.Ticker.Thomson,"ZAV(TR.EPSMean)","Period="&amp;INDEX(tb_ConsensusEstimate,2,COLUMN())&amp;INDEX(tb_ConsensusEstimate,3,COLUMN()))),"N/A")</f>
        <v>N/A</v>
      </c>
      <c r="BN658" s="971" t="str">
        <f ca="1">IFERROR(CHOOSE(MO.DataSourceIndex,_xll.BDP(MO.Ticker.Bloomberg&amp;" EQUITY","BEST_EPS","BEST_FPERIOD_OVERRIDE="&amp;INDEX(tb_ConsensusEstimate,3,COLUMN())&amp;INDEX(tb_ConsensusEstimate,2,COLUMN())),_xll.CIQ(MO.Ticker.CapIQ,"IQ_EPS_NORM_EST","IQ_"&amp;INDEX(tb_ConsensusEstimate,2,COLUMN())&amp;"+"&amp;INDEX(tb_ConsensusEstimate,3,COLUMN())),_xll.FDS(MO.Ticker.FactSet,"FE_ESTIMATE(EPS,MEAN,"&amp;INDEX(tb_ConsensusEstimate,2,COLUMN())&amp;",+"&amp;INDEX(tb_ConsensusEstimate,3,COLUMN())&amp;",NOW"&amp;",,,'CURRENCY="&amp;HP.ReportCurrency&amp;"')"),_xll.TR(MO.Ticker.Thomson,"ZAV(TR.EPSMean)","Period="&amp;INDEX(tb_ConsensusEstimate,2,COLUMN())&amp;INDEX(tb_ConsensusEstimate,3,COLUMN()))),"N/A")</f>
        <v>N/A</v>
      </c>
      <c r="BO658" s="971" t="str">
        <f ca="1">IFERROR(CHOOSE(MO.DataSourceIndex,_xll.BDP(MO.Ticker.Bloomberg&amp;" EQUITY","BEST_EPS","BEST_FPERIOD_OVERRIDE="&amp;INDEX(tb_ConsensusEstimate,3,COLUMN())&amp;INDEX(tb_ConsensusEstimate,2,COLUMN())),_xll.CIQ(MO.Ticker.CapIQ,"IQ_EPS_NORM_EST","IQ_"&amp;INDEX(tb_ConsensusEstimate,2,COLUMN())&amp;"+"&amp;INDEX(tb_ConsensusEstimate,3,COLUMN())),_xll.FDS(MO.Ticker.FactSet,"FE_ESTIMATE(EPS,MEAN,"&amp;INDEX(tb_ConsensusEstimate,2,COLUMN())&amp;",+"&amp;INDEX(tb_ConsensusEstimate,3,COLUMN())&amp;",NOW"&amp;",,,'CURRENCY="&amp;HP.ReportCurrency&amp;"')"),_xll.TR(MO.Ticker.Thomson,"ZAV(TR.EPSMean)","Period="&amp;INDEX(tb_ConsensusEstimate,2,COLUMN())&amp;INDEX(tb_ConsensusEstimate,3,COLUMN()))),"N/A")</f>
        <v>N/A</v>
      </c>
      <c r="BP658" s="971" t="str">
        <f ca="1">IFERROR(CHOOSE(MO.DataSourceIndex,_xll.BDP(MO.Ticker.Bloomberg&amp;" EQUITY","BEST_EPS","BEST_FPERIOD_OVERRIDE="&amp;INDEX(tb_ConsensusEstimate,3,COLUMN())&amp;INDEX(tb_ConsensusEstimate,2,COLUMN())),_xll.CIQ(MO.Ticker.CapIQ,"IQ_EPS_NORM_EST","IQ_"&amp;INDEX(tb_ConsensusEstimate,2,COLUMN())&amp;"+"&amp;INDEX(tb_ConsensusEstimate,3,COLUMN())),_xll.FDS(MO.Ticker.FactSet,"FE_ESTIMATE(EPS,MEAN,"&amp;INDEX(tb_ConsensusEstimate,2,COLUMN())&amp;",+"&amp;INDEX(tb_ConsensusEstimate,3,COLUMN())&amp;",NOW"&amp;",,,'CURRENCY="&amp;HP.ReportCurrency&amp;"')"),_xll.TR(MO.Ticker.Thomson,"ZAV(TR.EPSMean)","Period="&amp;INDEX(tb_ConsensusEstimate,2,COLUMN())&amp;INDEX(tb_ConsensusEstimate,3,COLUMN()))),"N/A")</f>
        <v>N/A</v>
      </c>
      <c r="BQ658" s="971" t="str">
        <f ca="1">IFERROR(CHOOSE(MO.DataSourceIndex,_xll.BDP(MO.Ticker.Bloomberg&amp;" EQUITY","BEST_EPS","BEST_FPERIOD_OVERRIDE="&amp;INDEX(tb_ConsensusEstimate,3,COLUMN())&amp;INDEX(tb_ConsensusEstimate,2,COLUMN())),_xll.CIQ(MO.Ticker.CapIQ,"IQ_EPS_NORM_EST","IQ_"&amp;INDEX(tb_ConsensusEstimate,2,COLUMN())&amp;"+"&amp;INDEX(tb_ConsensusEstimate,3,COLUMN())),_xll.FDS(MO.Ticker.FactSet,"FE_ESTIMATE(EPS,MEAN,"&amp;INDEX(tb_ConsensusEstimate,2,COLUMN())&amp;",+"&amp;INDEX(tb_ConsensusEstimate,3,COLUMN())&amp;",NOW"&amp;",,,'CURRENCY="&amp;HP.ReportCurrency&amp;"')"),_xll.TR(MO.Ticker.Thomson,"ZAV(TR.EPSMean)","Period="&amp;INDEX(tb_ConsensusEstimate,2,COLUMN())&amp;INDEX(tb_ConsensusEstimate,3,COLUMN()))),"N/A")</f>
        <v>N/A</v>
      </c>
      <c r="BR658" s="383" t="str">
        <f ca="1">IFERROR(CHOOSE(MO.DataSourceIndex,_xll.BDP(MO.Ticker.Bloomberg&amp;" EQUITY","BEST_EPS","BEST_FPERIOD_OVERRIDE="&amp;INDEX(tb_ConsensusEstimate,3,COLUMN())&amp;INDEX(tb_ConsensusEstimate,2,COLUMN())),_xll.CIQ(MO.Ticker.CapIQ,"IQ_EPS_NORM_EST","IQ_"&amp;INDEX(tb_ConsensusEstimate,2,COLUMN())&amp;"+"&amp;INDEX(tb_ConsensusEstimate,3,COLUMN())),_xll.FDS(MO.Ticker.FactSet,"FE_ESTIMATE(EPS,MEAN,"&amp;INDEX(tb_ConsensusEstimate,2,COLUMN())&amp;",+"&amp;INDEX(tb_ConsensusEstimate,3,COLUMN())&amp;",NOW"&amp;",,,'CURRENCY="&amp;HP.ReportCurrency&amp;"')"),_xll.TR(MO.Ticker.Thomson,"ZAV(TR.EPSMean)","Period="&amp;INDEX(tb_ConsensusEstimate,2,COLUMN())&amp;INDEX(tb_ConsensusEstimate,3,COLUMN()))),"N/A")</f>
        <v>N/A</v>
      </c>
      <c r="BS658" s="365"/>
    </row>
    <row r="659" spans="1:71" s="667" customFormat="1" ht="15">
      <c r="A659" s="385" t="str">
        <f>$A$344</f>
        <v>Consensus Estimates - Book Value per Common Share</v>
      </c>
      <c r="B659" s="952"/>
      <c r="C659" s="333"/>
      <c r="D659" s="333"/>
      <c r="E659" s="333"/>
      <c r="F659" s="333"/>
      <c r="G659" s="333"/>
      <c r="H659" s="952"/>
      <c r="I659" s="952"/>
      <c r="J659" s="952"/>
      <c r="K659" s="952"/>
      <c r="L659" s="952"/>
      <c r="M659" s="952"/>
      <c r="N659" s="952"/>
      <c r="O659" s="952"/>
      <c r="P659" s="952"/>
      <c r="Q659" s="952"/>
      <c r="R659" s="952"/>
      <c r="S659" s="952"/>
      <c r="T659" s="952"/>
      <c r="U659" s="952"/>
      <c r="V659" s="952"/>
      <c r="W659" s="952"/>
      <c r="X659" s="952"/>
      <c r="Y659" s="952"/>
      <c r="Z659" s="952"/>
      <c r="AA659" s="952"/>
      <c r="AB659" s="952"/>
      <c r="AC659" s="952"/>
      <c r="AD659" s="952"/>
      <c r="AE659" s="952"/>
      <c r="AF659" s="952"/>
      <c r="AG659" s="952"/>
      <c r="AH659" s="952"/>
      <c r="AI659" s="952"/>
      <c r="AJ659" s="952"/>
      <c r="AK659" s="952"/>
      <c r="AL659" s="952"/>
      <c r="AM659" s="952"/>
      <c r="AN659" s="952"/>
      <c r="AO659" s="952"/>
      <c r="AP659" s="952"/>
      <c r="AQ659" s="952"/>
      <c r="AR659" s="952"/>
      <c r="AS659" s="952"/>
      <c r="AT659" s="952"/>
      <c r="AU659" s="952"/>
      <c r="AV659" s="952"/>
      <c r="AW659" s="952"/>
      <c r="AX659" s="952"/>
      <c r="AY659" s="952"/>
      <c r="AZ659" s="952"/>
      <c r="BA659" s="952"/>
      <c r="BB659" s="952"/>
      <c r="BC659" s="952"/>
      <c r="BD659" s="952"/>
      <c r="BE659" s="952"/>
      <c r="BF659" s="952"/>
      <c r="BG659" s="952"/>
      <c r="BH659" s="953"/>
      <c r="BI659" s="971" t="str">
        <f ca="1">IFERROR(CHOOSE(MO.DataSourceIndex,_xll.BDP(MO.Ticker.Bloomberg&amp;" EQUITY","BEST_BPS","BEST_FPERIOD_OVERRIDE="&amp;INDEX(tb_ConsensusEstimate,3,COLUMN())&amp;INDEX(tb_ConsensusEstimate,2,COLUMN())),_xll.CIQ(MO.Ticker.CapIQ,"IQ_BV_SHARE_EST","IQ_"&amp;INDEX(tb_ConsensusEstimate,2,COLUMN())&amp;"+"&amp;INDEX(tb_ConsensusEstimate,3,COLUMN())),_xll.FDS(MO.Ticker.FactSet,"FE_ESTIMATE(BPS,MEAN,"&amp;INDEX(tb_ConsensusEstimate,2,COLUMN())&amp;",+"&amp;INDEX(tb_ConsensusEstimate,3,COLUMN())&amp;",NOW"&amp;",,,'CURRENCY="&amp;HP.ReportCurrency&amp;"')"),_xll.TR(MO.Ticker.Thomson,"ZAV(TR.BVPSMean)","Period="&amp;INDEX(tb_ConsensusEstimate,2,COLUMN())&amp;INDEX(tb_ConsensusEstimate,3,COLUMN()))),"N/A")</f>
        <v>N/A</v>
      </c>
      <c r="BJ659" s="971" t="str">
        <f ca="1">IFERROR(CHOOSE(MO.DataSourceIndex,_xll.BDP(MO.Ticker.Bloomberg&amp;" EQUITY","BEST_BPS","BEST_FPERIOD_OVERRIDE="&amp;INDEX(tb_ConsensusEstimate,3,COLUMN())&amp;INDEX(tb_ConsensusEstimate,2,COLUMN())),_xll.CIQ(MO.Ticker.CapIQ,"IQ_BV_SHARE_EST","IQ_"&amp;INDEX(tb_ConsensusEstimate,2,COLUMN())&amp;"+"&amp;INDEX(tb_ConsensusEstimate,3,COLUMN())),_xll.FDS(MO.Ticker.FactSet,"FE_ESTIMATE(BPS,MEAN,"&amp;INDEX(tb_ConsensusEstimate,2,COLUMN())&amp;",+"&amp;INDEX(tb_ConsensusEstimate,3,COLUMN())&amp;",NOW"&amp;",,,'CURRENCY="&amp;HP.ReportCurrency&amp;"')"),_xll.TR(MO.Ticker.Thomson,"ZAV(TR.BVPSMean)","Period="&amp;INDEX(tb_ConsensusEstimate,2,COLUMN())&amp;INDEX(tb_ConsensusEstimate,3,COLUMN()))),"N/A")</f>
        <v>N/A</v>
      </c>
      <c r="BK659" s="971" t="str">
        <f ca="1">IFERROR(CHOOSE(MO.DataSourceIndex,_xll.BDP(MO.Ticker.Bloomberg&amp;" EQUITY","BEST_BPS","BEST_FPERIOD_OVERRIDE="&amp;INDEX(tb_ConsensusEstimate,3,COLUMN())&amp;INDEX(tb_ConsensusEstimate,2,COLUMN())),_xll.CIQ(MO.Ticker.CapIQ,"IQ_BV_SHARE_EST","IQ_"&amp;INDEX(tb_ConsensusEstimate,2,COLUMN())&amp;"+"&amp;INDEX(tb_ConsensusEstimate,3,COLUMN())),_xll.FDS(MO.Ticker.FactSet,"FE_ESTIMATE(BPS,MEAN,"&amp;INDEX(tb_ConsensusEstimate,2,COLUMN())&amp;",+"&amp;INDEX(tb_ConsensusEstimate,3,COLUMN())&amp;",NOW"&amp;",,,'CURRENCY="&amp;HP.ReportCurrency&amp;"')"),_xll.TR(MO.Ticker.Thomson,"ZAV(TR.BVPSMean)","Period="&amp;INDEX(tb_ConsensusEstimate,2,COLUMN())&amp;INDEX(tb_ConsensusEstimate,3,COLUMN()))),"N/A")</f>
        <v>N/A</v>
      </c>
      <c r="BL659" s="971" t="str">
        <f ca="1">IFERROR(CHOOSE(MO.DataSourceIndex,_xll.BDP(MO.Ticker.Bloomberg&amp;" EQUITY","BEST_BPS","BEST_FPERIOD_OVERRIDE="&amp;INDEX(tb_ConsensusEstimate,3,COLUMN())&amp;INDEX(tb_ConsensusEstimate,2,COLUMN())),_xll.CIQ(MO.Ticker.CapIQ,"IQ_BV_SHARE_EST","IQ_"&amp;INDEX(tb_ConsensusEstimate,2,COLUMN())&amp;"+"&amp;INDEX(tb_ConsensusEstimate,3,COLUMN())),_xll.FDS(MO.Ticker.FactSet,"FE_ESTIMATE(BPS,MEAN,"&amp;INDEX(tb_ConsensusEstimate,2,COLUMN())&amp;",+"&amp;INDEX(tb_ConsensusEstimate,3,COLUMN())&amp;",NOW"&amp;",,,'CURRENCY="&amp;HP.ReportCurrency&amp;"')"),_xll.TR(MO.Ticker.Thomson,"ZAV(TR.BVPSMean)","Period="&amp;INDEX(tb_ConsensusEstimate,2,COLUMN())&amp;INDEX(tb_ConsensusEstimate,3,COLUMN()))),"N/A")</f>
        <v>N/A</v>
      </c>
      <c r="BM659" s="971" t="str">
        <f ca="1">IFERROR(CHOOSE(MO.DataSourceIndex,_xll.BDP(MO.Ticker.Bloomberg&amp;" EQUITY","BEST_BPS","BEST_FPERIOD_OVERRIDE="&amp;INDEX(tb_ConsensusEstimate,3,COLUMN())&amp;INDEX(tb_ConsensusEstimate,2,COLUMN())),_xll.CIQ(MO.Ticker.CapIQ,"IQ_BV_SHARE_EST","IQ_"&amp;INDEX(tb_ConsensusEstimate,2,COLUMN())&amp;"+"&amp;INDEX(tb_ConsensusEstimate,3,COLUMN())),_xll.FDS(MO.Ticker.FactSet,"FE_ESTIMATE(BPS,MEAN,"&amp;INDEX(tb_ConsensusEstimate,2,COLUMN())&amp;",+"&amp;INDEX(tb_ConsensusEstimate,3,COLUMN())&amp;",NOW"&amp;",,,'CURRENCY="&amp;HP.ReportCurrency&amp;"')"),_xll.TR(MO.Ticker.Thomson,"ZAV(TR.BVPSMean)","Period="&amp;INDEX(tb_ConsensusEstimate,2,COLUMN())&amp;INDEX(tb_ConsensusEstimate,3,COLUMN()))),"N/A")</f>
        <v>N/A</v>
      </c>
      <c r="BN659" s="971" t="str">
        <f ca="1">IFERROR(CHOOSE(MO.DataSourceIndex,_xll.BDP(MO.Ticker.Bloomberg&amp;" EQUITY","BEST_BPS","BEST_FPERIOD_OVERRIDE="&amp;INDEX(tb_ConsensusEstimate,3,COLUMN())&amp;INDEX(tb_ConsensusEstimate,2,COLUMN())),_xll.CIQ(MO.Ticker.CapIQ,"IQ_BV_SHARE_EST","IQ_"&amp;INDEX(tb_ConsensusEstimate,2,COLUMN())&amp;"+"&amp;INDEX(tb_ConsensusEstimate,3,COLUMN())),_xll.FDS(MO.Ticker.FactSet,"FE_ESTIMATE(BPS,MEAN,"&amp;INDEX(tb_ConsensusEstimate,2,COLUMN())&amp;",+"&amp;INDEX(tb_ConsensusEstimate,3,COLUMN())&amp;",NOW"&amp;",,,'CURRENCY="&amp;HP.ReportCurrency&amp;"')"),_xll.TR(MO.Ticker.Thomson,"ZAV(TR.BVPSMean)","Period="&amp;INDEX(tb_ConsensusEstimate,2,COLUMN())&amp;INDEX(tb_ConsensusEstimate,3,COLUMN()))),"N/A")</f>
        <v>N/A</v>
      </c>
      <c r="BO659" s="971" t="str">
        <f ca="1">IFERROR(CHOOSE(MO.DataSourceIndex,_xll.BDP(MO.Ticker.Bloomberg&amp;" EQUITY","BEST_BPS","BEST_FPERIOD_OVERRIDE="&amp;INDEX(tb_ConsensusEstimate,3,COLUMN())&amp;INDEX(tb_ConsensusEstimate,2,COLUMN())),_xll.CIQ(MO.Ticker.CapIQ,"IQ_BV_SHARE_EST","IQ_"&amp;INDEX(tb_ConsensusEstimate,2,COLUMN())&amp;"+"&amp;INDEX(tb_ConsensusEstimate,3,COLUMN())),_xll.FDS(MO.Ticker.FactSet,"FE_ESTIMATE(BPS,MEAN,"&amp;INDEX(tb_ConsensusEstimate,2,COLUMN())&amp;",+"&amp;INDEX(tb_ConsensusEstimate,3,COLUMN())&amp;",NOW"&amp;",,,'CURRENCY="&amp;HP.ReportCurrency&amp;"')"),_xll.TR(MO.Ticker.Thomson,"ZAV(TR.BVPSMean)","Period="&amp;INDEX(tb_ConsensusEstimate,2,COLUMN())&amp;INDEX(tb_ConsensusEstimate,3,COLUMN()))),"N/A")</f>
        <v>N/A</v>
      </c>
      <c r="BP659" s="971" t="str">
        <f ca="1">IFERROR(CHOOSE(MO.DataSourceIndex,_xll.BDP(MO.Ticker.Bloomberg&amp;" EQUITY","BEST_BPS","BEST_FPERIOD_OVERRIDE="&amp;INDEX(tb_ConsensusEstimate,3,COLUMN())&amp;INDEX(tb_ConsensusEstimate,2,COLUMN())),_xll.CIQ(MO.Ticker.CapIQ,"IQ_BV_SHARE_EST","IQ_"&amp;INDEX(tb_ConsensusEstimate,2,COLUMN())&amp;"+"&amp;INDEX(tb_ConsensusEstimate,3,COLUMN())),_xll.FDS(MO.Ticker.FactSet,"FE_ESTIMATE(BPS,MEAN,"&amp;INDEX(tb_ConsensusEstimate,2,COLUMN())&amp;",+"&amp;INDEX(tb_ConsensusEstimate,3,COLUMN())&amp;",NOW"&amp;",,,'CURRENCY="&amp;HP.ReportCurrency&amp;"')"),_xll.TR(MO.Ticker.Thomson,"ZAV(TR.BVPSMean)","Period="&amp;INDEX(tb_ConsensusEstimate,2,COLUMN())&amp;INDEX(tb_ConsensusEstimate,3,COLUMN()))),"N/A")</f>
        <v>N/A</v>
      </c>
      <c r="BQ659" s="971" t="str">
        <f ca="1">IFERROR(CHOOSE(MO.DataSourceIndex,_xll.BDP(MO.Ticker.Bloomberg&amp;" EQUITY","BEST_BPS","BEST_FPERIOD_OVERRIDE="&amp;INDEX(tb_ConsensusEstimate,3,COLUMN())&amp;INDEX(tb_ConsensusEstimate,2,COLUMN())),_xll.CIQ(MO.Ticker.CapIQ,"IQ_BV_SHARE_EST","IQ_"&amp;INDEX(tb_ConsensusEstimate,2,COLUMN())&amp;"+"&amp;INDEX(tb_ConsensusEstimate,3,COLUMN())),_xll.FDS(MO.Ticker.FactSet,"FE_ESTIMATE(BPS,MEAN,"&amp;INDEX(tb_ConsensusEstimate,2,COLUMN())&amp;",+"&amp;INDEX(tb_ConsensusEstimate,3,COLUMN())&amp;",NOW"&amp;",,,'CURRENCY="&amp;HP.ReportCurrency&amp;"')"),_xll.TR(MO.Ticker.Thomson,"ZAV(TR.BVPSMean)","Period="&amp;INDEX(tb_ConsensusEstimate,2,COLUMN())&amp;INDEX(tb_ConsensusEstimate,3,COLUMN()))),"N/A")</f>
        <v>N/A</v>
      </c>
      <c r="BR659" s="383" t="str">
        <f ca="1">IFERROR(CHOOSE(MO.DataSourceIndex,_xll.BDP(MO.Ticker.Bloomberg&amp;" EQUITY","BEST_BPS","BEST_FPERIOD_OVERRIDE="&amp;INDEX(tb_ConsensusEstimate,3,COLUMN())&amp;INDEX(tb_ConsensusEstimate,2,COLUMN())),_xll.CIQ(MO.Ticker.CapIQ,"IQ_BV_SHARE_EST","IQ_"&amp;INDEX(tb_ConsensusEstimate,2,COLUMN())&amp;"+"&amp;INDEX(tb_ConsensusEstimate,3,COLUMN())),_xll.FDS(MO.Ticker.FactSet,"FE_ESTIMATE(BPS,MEAN,"&amp;INDEX(tb_ConsensusEstimate,2,COLUMN())&amp;",+"&amp;INDEX(tb_ConsensusEstimate,3,COLUMN())&amp;",NOW"&amp;",,,'CURRENCY="&amp;HP.ReportCurrency&amp;"')"),_xll.TR(MO.Ticker.Thomson,"ZAV(TR.BVPSMean)","Period="&amp;INDEX(tb_ConsensusEstimate,2,COLUMN())&amp;INDEX(tb_ConsensusEstimate,3,COLUMN()))),"N/A")</f>
        <v>N/A</v>
      </c>
      <c r="BS659" s="365"/>
    </row>
    <row r="660" spans="1:71" s="667" customFormat="1" ht="15">
      <c r="A660" s="385" t="str">
        <f>$A$349</f>
        <v>Consensus Estimates - Return on Average Common Equity, %</v>
      </c>
      <c r="B660" s="952"/>
      <c r="C660" s="331"/>
      <c r="D660" s="331"/>
      <c r="E660" s="331"/>
      <c r="F660" s="331"/>
      <c r="G660" s="331"/>
      <c r="H660" s="952"/>
      <c r="I660" s="952"/>
      <c r="J660" s="952"/>
      <c r="K660" s="952"/>
      <c r="L660" s="952"/>
      <c r="M660" s="952"/>
      <c r="N660" s="952"/>
      <c r="O660" s="952"/>
      <c r="P660" s="952"/>
      <c r="Q660" s="952"/>
      <c r="R660" s="952"/>
      <c r="S660" s="952"/>
      <c r="T660" s="952"/>
      <c r="U660" s="952"/>
      <c r="V660" s="952"/>
      <c r="W660" s="952"/>
      <c r="X660" s="952"/>
      <c r="Y660" s="952"/>
      <c r="Z660" s="952"/>
      <c r="AA660" s="952"/>
      <c r="AB660" s="952"/>
      <c r="AC660" s="952"/>
      <c r="AD660" s="952"/>
      <c r="AE660" s="952"/>
      <c r="AF660" s="952"/>
      <c r="AG660" s="952"/>
      <c r="AH660" s="952"/>
      <c r="AI660" s="952"/>
      <c r="AJ660" s="952"/>
      <c r="AK660" s="952"/>
      <c r="AL660" s="952"/>
      <c r="AM660" s="952"/>
      <c r="AN660" s="952"/>
      <c r="AO660" s="952"/>
      <c r="AP660" s="952"/>
      <c r="AQ660" s="952"/>
      <c r="AR660" s="952"/>
      <c r="AS660" s="952"/>
      <c r="AT660" s="952"/>
      <c r="AU660" s="952"/>
      <c r="AV660" s="952"/>
      <c r="AW660" s="952"/>
      <c r="AX660" s="952"/>
      <c r="AY660" s="952"/>
      <c r="AZ660" s="952"/>
      <c r="BA660" s="952"/>
      <c r="BB660" s="952"/>
      <c r="BC660" s="952"/>
      <c r="BD660" s="952"/>
      <c r="BE660" s="952"/>
      <c r="BF660" s="952"/>
      <c r="BG660" s="952"/>
      <c r="BH660" s="953"/>
      <c r="BI660" s="971" t="str">
        <f ca="1">IFERROR(CHOOSE(MO.DataSourceIndex,_xll.BDP(MO.Ticker.Bloomberg&amp;" EQUITY","BEST_ROE","BEST_FPERIOD_OVERRIDE="&amp;INDEX(tb_ConsensusEstimate,3,COLUMN())&amp;INDEX(tb_ConsensusEstimate,2,COLUMN())),_xll.CIQ(MO.Ticker.CapIQ,"IQ_RETURN_EQUITY_EST","IQ_"&amp;INDEX(tb_ConsensusEstimate,2,COLUMN())&amp;"+"&amp;INDEX(tb_ConsensusEstimate,3,COLUMN())),_xll.FDS(MO.Ticker.FactSet,"FE_ESTIMATE(ROAE,MEAN,"&amp;INDEX(tb_ConsensusEstimate,2,COLUMN())&amp;",+"&amp;INDEX(tb_ConsensusEstimate,3,COLUMN())&amp;",NOW,,,'')"),_xll.TR(MO.Ticker.Thomson,"ZAV(TR.ROEMean)","Period="&amp;INDEX(tb_ConsensusEstimate,2,COLUMN())&amp;INDEX(tb_ConsensusEstimate,3,COLUMN())))/100,"N/A")</f>
        <v>N/A</v>
      </c>
      <c r="BJ660" s="971" t="str">
        <f ca="1">IFERROR(CHOOSE(MO.DataSourceIndex,_xll.BDP(MO.Ticker.Bloomberg&amp;" EQUITY","BEST_ROE","BEST_FPERIOD_OVERRIDE="&amp;INDEX(tb_ConsensusEstimate,3,COLUMN())&amp;INDEX(tb_ConsensusEstimate,2,COLUMN())),_xll.CIQ(MO.Ticker.CapIQ,"IQ_RETURN_EQUITY_EST","IQ_"&amp;INDEX(tb_ConsensusEstimate,2,COLUMN())&amp;"+"&amp;INDEX(tb_ConsensusEstimate,3,COLUMN())),_xll.FDS(MO.Ticker.FactSet,"FE_ESTIMATE(ROAE,MEAN,"&amp;INDEX(tb_ConsensusEstimate,2,COLUMN())&amp;",+"&amp;INDEX(tb_ConsensusEstimate,3,COLUMN())&amp;",NOW,,,'')"),_xll.TR(MO.Ticker.Thomson,"ZAV(TR.ROEMean)","Period="&amp;INDEX(tb_ConsensusEstimate,2,COLUMN())&amp;INDEX(tb_ConsensusEstimate,3,COLUMN())))/100,"N/A")</f>
        <v>N/A</v>
      </c>
      <c r="BK660" s="971" t="str">
        <f ca="1">IFERROR(CHOOSE(MO.DataSourceIndex,_xll.BDP(MO.Ticker.Bloomberg&amp;" EQUITY","BEST_ROE","BEST_FPERIOD_OVERRIDE="&amp;INDEX(tb_ConsensusEstimate,3,COLUMN())&amp;INDEX(tb_ConsensusEstimate,2,COLUMN())),_xll.CIQ(MO.Ticker.CapIQ,"IQ_RETURN_EQUITY_EST","IQ_"&amp;INDEX(tb_ConsensusEstimate,2,COLUMN())&amp;"+"&amp;INDEX(tb_ConsensusEstimate,3,COLUMN())),_xll.FDS(MO.Ticker.FactSet,"FE_ESTIMATE(ROAE,MEAN,"&amp;INDEX(tb_ConsensusEstimate,2,COLUMN())&amp;",+"&amp;INDEX(tb_ConsensusEstimate,3,COLUMN())&amp;",NOW,,,'')"),_xll.TR(MO.Ticker.Thomson,"ZAV(TR.ROEMean)","Period="&amp;INDEX(tb_ConsensusEstimate,2,COLUMN())&amp;INDEX(tb_ConsensusEstimate,3,COLUMN())))/100,"N/A")</f>
        <v>N/A</v>
      </c>
      <c r="BL660" s="971" t="str">
        <f ca="1">IFERROR(CHOOSE(MO.DataSourceIndex,_xll.BDP(MO.Ticker.Bloomberg&amp;" EQUITY","BEST_ROE","BEST_FPERIOD_OVERRIDE="&amp;INDEX(tb_ConsensusEstimate,3,COLUMN())&amp;INDEX(tb_ConsensusEstimate,2,COLUMN())),_xll.CIQ(MO.Ticker.CapIQ,"IQ_RETURN_EQUITY_EST","IQ_"&amp;INDEX(tb_ConsensusEstimate,2,COLUMN())&amp;"+"&amp;INDEX(tb_ConsensusEstimate,3,COLUMN())),_xll.FDS(MO.Ticker.FactSet,"FE_ESTIMATE(ROAE,MEAN,"&amp;INDEX(tb_ConsensusEstimate,2,COLUMN())&amp;",+"&amp;INDEX(tb_ConsensusEstimate,3,COLUMN())&amp;",NOW,,,'')"),_xll.TR(MO.Ticker.Thomson,"ZAV(TR.ROEMean)","Period="&amp;INDEX(tb_ConsensusEstimate,2,COLUMN())&amp;INDEX(tb_ConsensusEstimate,3,COLUMN())))/100,"N/A")</f>
        <v>N/A</v>
      </c>
      <c r="BM660" s="971" t="str">
        <f ca="1">IFERROR(CHOOSE(MO.DataSourceIndex,_xll.BDP(MO.Ticker.Bloomberg&amp;" EQUITY","BEST_ROE","BEST_FPERIOD_OVERRIDE="&amp;INDEX(tb_ConsensusEstimate,3,COLUMN())&amp;INDEX(tb_ConsensusEstimate,2,COLUMN())),_xll.CIQ(MO.Ticker.CapIQ,"IQ_RETURN_EQUITY_EST","IQ_"&amp;INDEX(tb_ConsensusEstimate,2,COLUMN())&amp;"+"&amp;INDEX(tb_ConsensusEstimate,3,COLUMN())),_xll.FDS(MO.Ticker.FactSet,"FE_ESTIMATE(ROAE,MEAN,"&amp;INDEX(tb_ConsensusEstimate,2,COLUMN())&amp;",+"&amp;INDEX(tb_ConsensusEstimate,3,COLUMN())&amp;",NOW,,,'')"),_xll.TR(MO.Ticker.Thomson,"ZAV(TR.ROEMean)","Period="&amp;INDEX(tb_ConsensusEstimate,2,COLUMN())&amp;INDEX(tb_ConsensusEstimate,3,COLUMN())))/100,"N/A")</f>
        <v>N/A</v>
      </c>
      <c r="BN660" s="971" t="str">
        <f ca="1">IFERROR(CHOOSE(MO.DataSourceIndex,_xll.BDP(MO.Ticker.Bloomberg&amp;" EQUITY","BEST_ROE","BEST_FPERIOD_OVERRIDE="&amp;INDEX(tb_ConsensusEstimate,3,COLUMN())&amp;INDEX(tb_ConsensusEstimate,2,COLUMN())),_xll.CIQ(MO.Ticker.CapIQ,"IQ_RETURN_EQUITY_EST","IQ_"&amp;INDEX(tb_ConsensusEstimate,2,COLUMN())&amp;"+"&amp;INDEX(tb_ConsensusEstimate,3,COLUMN())),_xll.FDS(MO.Ticker.FactSet,"FE_ESTIMATE(ROAE,MEAN,"&amp;INDEX(tb_ConsensusEstimate,2,COLUMN())&amp;",+"&amp;INDEX(tb_ConsensusEstimate,3,COLUMN())&amp;",NOW,,,'')"),_xll.TR(MO.Ticker.Thomson,"ZAV(TR.ROEMean)","Period="&amp;INDEX(tb_ConsensusEstimate,2,COLUMN())&amp;INDEX(tb_ConsensusEstimate,3,COLUMN())))/100,"N/A")</f>
        <v>N/A</v>
      </c>
      <c r="BO660" s="971" t="str">
        <f ca="1">IFERROR(CHOOSE(MO.DataSourceIndex,_xll.BDP(MO.Ticker.Bloomberg&amp;" EQUITY","BEST_ROE","BEST_FPERIOD_OVERRIDE="&amp;INDEX(tb_ConsensusEstimate,3,COLUMN())&amp;INDEX(tb_ConsensusEstimate,2,COLUMN())),_xll.CIQ(MO.Ticker.CapIQ,"IQ_RETURN_EQUITY_EST","IQ_"&amp;INDEX(tb_ConsensusEstimate,2,COLUMN())&amp;"+"&amp;INDEX(tb_ConsensusEstimate,3,COLUMN())),_xll.FDS(MO.Ticker.FactSet,"FE_ESTIMATE(ROAE,MEAN,"&amp;INDEX(tb_ConsensusEstimate,2,COLUMN())&amp;",+"&amp;INDEX(tb_ConsensusEstimate,3,COLUMN())&amp;",NOW,,,'')"),_xll.TR(MO.Ticker.Thomson,"ZAV(TR.ROEMean)","Period="&amp;INDEX(tb_ConsensusEstimate,2,COLUMN())&amp;INDEX(tb_ConsensusEstimate,3,COLUMN())))/100,"N/A")</f>
        <v>N/A</v>
      </c>
      <c r="BP660" s="971" t="str">
        <f ca="1">IFERROR(CHOOSE(MO.DataSourceIndex,_xll.BDP(MO.Ticker.Bloomberg&amp;" EQUITY","BEST_ROE","BEST_FPERIOD_OVERRIDE="&amp;INDEX(tb_ConsensusEstimate,3,COLUMN())&amp;INDEX(tb_ConsensusEstimate,2,COLUMN())),_xll.CIQ(MO.Ticker.CapIQ,"IQ_RETURN_EQUITY_EST","IQ_"&amp;INDEX(tb_ConsensusEstimate,2,COLUMN())&amp;"+"&amp;INDEX(tb_ConsensusEstimate,3,COLUMN())),_xll.FDS(MO.Ticker.FactSet,"FE_ESTIMATE(ROAE,MEAN,"&amp;INDEX(tb_ConsensusEstimate,2,COLUMN())&amp;",+"&amp;INDEX(tb_ConsensusEstimate,3,COLUMN())&amp;",NOW,,,'')"),_xll.TR(MO.Ticker.Thomson,"ZAV(TR.ROEMean)","Period="&amp;INDEX(tb_ConsensusEstimate,2,COLUMN())&amp;INDEX(tb_ConsensusEstimate,3,COLUMN())))/100,"N/A")</f>
        <v>N/A</v>
      </c>
      <c r="BQ660" s="971" t="str">
        <f ca="1">IFERROR(CHOOSE(MO.DataSourceIndex,_xll.BDP(MO.Ticker.Bloomberg&amp;" EQUITY","BEST_ROE","BEST_FPERIOD_OVERRIDE="&amp;INDEX(tb_ConsensusEstimate,3,COLUMN())&amp;INDEX(tb_ConsensusEstimate,2,COLUMN())),_xll.CIQ(MO.Ticker.CapIQ,"IQ_RETURN_EQUITY_EST","IQ_"&amp;INDEX(tb_ConsensusEstimate,2,COLUMN())&amp;"+"&amp;INDEX(tb_ConsensusEstimate,3,COLUMN())),_xll.FDS(MO.Ticker.FactSet,"FE_ESTIMATE(ROAE,MEAN,"&amp;INDEX(tb_ConsensusEstimate,2,COLUMN())&amp;",+"&amp;INDEX(tb_ConsensusEstimate,3,COLUMN())&amp;",NOW,,,'')"),_xll.TR(MO.Ticker.Thomson,"ZAV(TR.ROEMean)","Period="&amp;INDEX(tb_ConsensusEstimate,2,COLUMN())&amp;INDEX(tb_ConsensusEstimate,3,COLUMN())))/100,"N/A")</f>
        <v>N/A</v>
      </c>
      <c r="BR660" s="383" t="str">
        <f ca="1">IFERROR(CHOOSE(MO.DataSourceIndex,_xll.BDP(MO.Ticker.Bloomberg&amp;" EQUITY","BEST_ROE","BEST_FPERIOD_OVERRIDE="&amp;INDEX(tb_ConsensusEstimate,3,COLUMN())&amp;INDEX(tb_ConsensusEstimate,2,COLUMN())),_xll.CIQ(MO.Ticker.CapIQ,"IQ_RETURN_EQUITY_EST","IQ_"&amp;INDEX(tb_ConsensusEstimate,2,COLUMN())&amp;"+"&amp;INDEX(tb_ConsensusEstimate,3,COLUMN())),_xll.FDS(MO.Ticker.FactSet,"FE_ESTIMATE(ROAE,MEAN,"&amp;INDEX(tb_ConsensusEstimate,2,COLUMN())&amp;",+"&amp;INDEX(tb_ConsensusEstimate,3,COLUMN())&amp;",NOW,,,'')"),_xll.TR(MO.Ticker.Thomson,"ZAV(TR.ROEMean)","Period="&amp;INDEX(tb_ConsensusEstimate,2,COLUMN())&amp;INDEX(tb_ConsensusEstimate,3,COLUMN())))/100,"N/A")</f>
        <v>N/A</v>
      </c>
      <c r="BS660" s="365"/>
    </row>
    <row r="661" spans="1:71" s="692" customFormat="1" ht="15">
      <c r="A661" s="386"/>
      <c r="B661" s="381"/>
      <c r="C661" s="382"/>
      <c r="D661" s="382"/>
      <c r="E661" s="381"/>
      <c r="F661" s="381"/>
      <c r="G661" s="381"/>
      <c r="H661" s="381"/>
      <c r="I661" s="381"/>
      <c r="J661" s="381"/>
      <c r="K661" s="381"/>
      <c r="L661" s="381"/>
      <c r="M661" s="381"/>
      <c r="N661" s="381"/>
      <c r="O661" s="381"/>
      <c r="P661" s="381"/>
      <c r="Q661" s="381"/>
      <c r="R661" s="381"/>
      <c r="S661" s="381"/>
      <c r="T661" s="381"/>
      <c r="U661" s="381"/>
      <c r="V661" s="381"/>
      <c r="W661" s="381"/>
      <c r="X661" s="381"/>
      <c r="Y661" s="381"/>
      <c r="Z661" s="381"/>
      <c r="AA661" s="381"/>
      <c r="AB661" s="381"/>
      <c r="AC661" s="381"/>
      <c r="AD661" s="381"/>
      <c r="AE661" s="381"/>
      <c r="AF661" s="381"/>
      <c r="AG661" s="381"/>
      <c r="AH661" s="381"/>
      <c r="AI661" s="381"/>
      <c r="AJ661" s="381"/>
      <c r="AK661" s="381"/>
      <c r="AL661" s="381"/>
      <c r="AM661" s="381"/>
      <c r="AN661" s="381"/>
      <c r="AO661" s="381"/>
      <c r="AP661" s="381"/>
      <c r="AQ661" s="381"/>
      <c r="AR661" s="381"/>
      <c r="AS661" s="381"/>
      <c r="AT661" s="381"/>
      <c r="AU661" s="381"/>
      <c r="AV661" s="381"/>
      <c r="AW661" s="381"/>
      <c r="AX661" s="381"/>
      <c r="AY661" s="381"/>
      <c r="AZ661" s="381"/>
      <c r="BA661" s="381"/>
      <c r="BB661" s="381"/>
      <c r="BC661" s="381"/>
      <c r="BD661" s="381"/>
      <c r="BE661" s="381"/>
      <c r="BF661" s="381"/>
      <c r="BG661" s="381"/>
      <c r="BH661" s="405"/>
      <c r="BI661" s="381"/>
      <c r="BJ661" s="381"/>
      <c r="BK661" s="381"/>
      <c r="BL661" s="381"/>
      <c r="BM661" s="381"/>
      <c r="BN661" s="381"/>
      <c r="BO661" s="381"/>
      <c r="BP661" s="381"/>
      <c r="BQ661" s="381"/>
      <c r="BR661" s="384"/>
      <c r="BS661" s="366"/>
    </row>
    <row r="662" spans="1:71" s="692" customFormat="1" ht="15">
      <c r="A662" s="367"/>
      <c r="B662" s="368"/>
      <c r="C662" s="369"/>
      <c r="D662" s="369"/>
      <c r="E662" s="368"/>
      <c r="F662" s="368"/>
      <c r="G662" s="368"/>
      <c r="H662" s="368"/>
      <c r="I662" s="368"/>
      <c r="J662" s="368"/>
      <c r="K662" s="368"/>
      <c r="L662" s="368"/>
      <c r="M662" s="368"/>
      <c r="N662" s="368"/>
      <c r="O662" s="368"/>
      <c r="P662" s="368"/>
      <c r="Q662" s="368"/>
      <c r="R662" s="368"/>
      <c r="S662" s="368"/>
      <c r="T662" s="368"/>
      <c r="U662" s="368"/>
      <c r="V662" s="368"/>
      <c r="W662" s="368"/>
      <c r="X662" s="368"/>
      <c r="Y662" s="368"/>
      <c r="Z662" s="368"/>
      <c r="AA662" s="368"/>
      <c r="AB662" s="368"/>
      <c r="AC662" s="368"/>
      <c r="AD662" s="368"/>
      <c r="AE662" s="368"/>
      <c r="AF662" s="368"/>
      <c r="AG662" s="368"/>
      <c r="AH662" s="368"/>
      <c r="AI662" s="368"/>
      <c r="AJ662" s="368"/>
      <c r="AK662" s="368"/>
      <c r="AL662" s="368"/>
      <c r="AM662" s="368"/>
      <c r="AN662" s="368"/>
      <c r="AO662" s="368"/>
      <c r="AP662" s="368"/>
      <c r="AQ662" s="368"/>
      <c r="AR662" s="368"/>
      <c r="AS662" s="368"/>
      <c r="AT662" s="368"/>
      <c r="AU662" s="368"/>
      <c r="AV662" s="368"/>
      <c r="AW662" s="368"/>
      <c r="AX662" s="368"/>
      <c r="AY662" s="368"/>
      <c r="AZ662" s="368"/>
      <c r="BA662" s="368"/>
      <c r="BB662" s="368"/>
      <c r="BC662" s="368"/>
      <c r="BD662" s="368"/>
      <c r="BE662" s="368"/>
      <c r="BF662" s="368"/>
      <c r="BG662" s="368"/>
      <c r="BH662" s="370"/>
      <c r="BI662" s="368"/>
      <c r="BJ662" s="368"/>
      <c r="BK662" s="368"/>
      <c r="BL662" s="368"/>
      <c r="BM662" s="368"/>
      <c r="BN662" s="368"/>
      <c r="BO662" s="368"/>
      <c r="BP662" s="368"/>
      <c r="BQ662" s="368"/>
      <c r="BR662" s="368"/>
      <c r="BS662" s="233"/>
    </row>
    <row r="663" spans="1:71" s="692" customFormat="1" ht="15">
      <c r="A663" s="253" t="s">
        <v>393</v>
      </c>
      <c r="B663" s="250"/>
      <c r="C663" s="251"/>
      <c r="D663" s="251"/>
      <c r="E663" s="250"/>
      <c r="F663" s="250"/>
      <c r="G663" s="250"/>
      <c r="H663" s="250"/>
      <c r="I663" s="250"/>
      <c r="J663" s="250"/>
      <c r="K663" s="250"/>
      <c r="L663" s="250"/>
      <c r="M663" s="250"/>
      <c r="N663" s="250"/>
      <c r="O663" s="250"/>
      <c r="P663" s="250"/>
      <c r="Q663" s="250"/>
      <c r="R663" s="250"/>
      <c r="S663" s="250"/>
      <c r="T663" s="250"/>
      <c r="U663" s="250"/>
      <c r="V663" s="250"/>
      <c r="W663" s="250"/>
      <c r="X663" s="250"/>
      <c r="Y663" s="250"/>
      <c r="Z663" s="250"/>
      <c r="AA663" s="250"/>
      <c r="AB663" s="250"/>
      <c r="AC663" s="250"/>
      <c r="AD663" s="250"/>
      <c r="AE663" s="250"/>
      <c r="AF663" s="250"/>
      <c r="AG663" s="250"/>
      <c r="AH663" s="250"/>
      <c r="AI663" s="250"/>
      <c r="AJ663" s="250"/>
      <c r="AK663" s="250"/>
      <c r="AL663" s="250"/>
      <c r="AM663" s="250"/>
      <c r="AN663" s="250"/>
      <c r="AO663" s="250"/>
      <c r="AP663" s="250"/>
      <c r="AQ663" s="250"/>
      <c r="AR663" s="250"/>
      <c r="AS663" s="250"/>
      <c r="AT663" s="250"/>
      <c r="AU663" s="250"/>
      <c r="AV663" s="250"/>
      <c r="AW663" s="250"/>
      <c r="AX663" s="250"/>
      <c r="AY663" s="250"/>
      <c r="AZ663" s="250"/>
      <c r="BA663" s="250"/>
      <c r="BB663" s="250"/>
      <c r="BC663" s="250"/>
      <c r="BD663" s="250"/>
      <c r="BE663" s="250"/>
      <c r="BF663" s="250"/>
      <c r="BG663" s="250"/>
      <c r="BH663" s="265"/>
      <c r="BI663" s="250"/>
      <c r="BJ663" s="250"/>
      <c r="BK663" s="250"/>
      <c r="BL663" s="250"/>
      <c r="BM663" s="250"/>
      <c r="BN663" s="250"/>
      <c r="BO663" s="250"/>
      <c r="BP663" s="250"/>
      <c r="BQ663" s="250"/>
      <c r="BR663" s="252"/>
      <c r="BS663" s="366"/>
    </row>
    <row r="664" spans="1:71" s="692" customFormat="1" ht="15">
      <c r="A664" s="254" t="s">
        <v>394</v>
      </c>
      <c r="B664" s="954"/>
      <c r="C664" s="626">
        <f t="shared" si="1371" ref="C664:AK664">INDEX(MO_Common_QEndDate,0,COLUMN())-INDEX(MO_Common_FPDays,0,COLUMN())+1</f>
        <v>39814</v>
      </c>
      <c r="D664" s="626">
        <f t="shared" si="1371"/>
        <v>40179</v>
      </c>
      <c r="E664" s="627">
        <f t="shared" si="1371"/>
        <v>40544</v>
      </c>
      <c r="F664" s="627">
        <f t="shared" si="1371"/>
        <v>40909</v>
      </c>
      <c r="G664" s="627">
        <f t="shared" si="1371"/>
        <v>41275</v>
      </c>
      <c r="H664" s="627">
        <f t="shared" si="1371"/>
        <v>41640</v>
      </c>
      <c r="I664" s="627">
        <f t="shared" si="1371"/>
        <v>41730</v>
      </c>
      <c r="J664" s="627">
        <f t="shared" si="1371"/>
        <v>41821</v>
      </c>
      <c r="K664" s="627">
        <f t="shared" si="1371"/>
        <v>41913</v>
      </c>
      <c r="L664" s="627">
        <f t="shared" si="1371"/>
        <v>41640</v>
      </c>
      <c r="M664" s="627">
        <f t="shared" si="1371"/>
        <v>42005</v>
      </c>
      <c r="N664" s="627">
        <f t="shared" si="1371"/>
        <v>42095</v>
      </c>
      <c r="O664" s="627">
        <f t="shared" si="1371"/>
        <v>42186</v>
      </c>
      <c r="P664" s="627">
        <f t="shared" si="1371"/>
        <v>42278</v>
      </c>
      <c r="Q664" s="627">
        <f t="shared" si="1371"/>
        <v>42005</v>
      </c>
      <c r="R664" s="627">
        <f t="shared" si="1371"/>
        <v>42370</v>
      </c>
      <c r="S664" s="627">
        <f t="shared" si="1371"/>
        <v>42461</v>
      </c>
      <c r="T664" s="627">
        <f t="shared" si="1371"/>
        <v>42552</v>
      </c>
      <c r="U664" s="627">
        <f t="shared" si="1371"/>
        <v>42644</v>
      </c>
      <c r="V664" s="627">
        <f t="shared" si="1371"/>
        <v>42370</v>
      </c>
      <c r="W664" s="627">
        <f t="shared" si="1371"/>
        <v>42736</v>
      </c>
      <c r="X664" s="627">
        <f t="shared" si="1371"/>
        <v>42826</v>
      </c>
      <c r="Y664" s="627">
        <f t="shared" si="1371"/>
        <v>42917</v>
      </c>
      <c r="Z664" s="627">
        <f t="shared" si="1371"/>
        <v>43009</v>
      </c>
      <c r="AA664" s="627">
        <f t="shared" si="1371"/>
        <v>42736</v>
      </c>
      <c r="AB664" s="627">
        <f t="shared" si="1371"/>
        <v>43101</v>
      </c>
      <c r="AC664" s="627">
        <f t="shared" si="1371"/>
        <v>43191</v>
      </c>
      <c r="AD664" s="627">
        <f t="shared" si="1371"/>
        <v>43282</v>
      </c>
      <c r="AE664" s="627">
        <f t="shared" si="1371"/>
        <v>43374</v>
      </c>
      <c r="AF664" s="627">
        <f t="shared" si="1371"/>
        <v>43101</v>
      </c>
      <c r="AG664" s="627">
        <f t="shared" si="1371"/>
        <v>43466</v>
      </c>
      <c r="AH664" s="627">
        <f t="shared" si="1371"/>
        <v>43556</v>
      </c>
      <c r="AI664" s="627">
        <f t="shared" si="1371"/>
        <v>43647</v>
      </c>
      <c r="AJ664" s="627">
        <f t="shared" si="1371"/>
        <v>43739</v>
      </c>
      <c r="AK664" s="627">
        <f t="shared" si="1371"/>
        <v>43466</v>
      </c>
      <c r="AL664" s="627">
        <f t="shared" si="1372" ref="AL664:AQ664">INDEX(MO_Common_QEndDate,0,COLUMN())-INDEX(MO_Common_FPDays,0,COLUMN())+1</f>
        <v>43831</v>
      </c>
      <c r="AM664" s="627">
        <f t="shared" si="1372"/>
        <v>43922</v>
      </c>
      <c r="AN664" s="627">
        <f t="shared" si="1372"/>
        <v>44013</v>
      </c>
      <c r="AO664" s="627">
        <f t="shared" si="1372"/>
        <v>44105</v>
      </c>
      <c r="AP664" s="627">
        <f t="shared" si="1372"/>
        <v>43831</v>
      </c>
      <c r="AQ664" s="627">
        <f t="shared" si="1372"/>
        <v>44197</v>
      </c>
      <c r="AR664" s="627">
        <f t="shared" si="1373" ref="AR664:AW664">INDEX(MO_Common_QEndDate,0,COLUMN())-INDEX(MO_Common_FPDays,0,COLUMN())+1</f>
        <v>44287</v>
      </c>
      <c r="AS664" s="627">
        <f t="shared" si="1373"/>
        <v>44378</v>
      </c>
      <c r="AT664" s="627">
        <f t="shared" si="1373"/>
        <v>44470</v>
      </c>
      <c r="AU664" s="627">
        <f t="shared" si="1373"/>
        <v>44197</v>
      </c>
      <c r="AV664" s="627">
        <f t="shared" si="1373"/>
        <v>44562</v>
      </c>
      <c r="AW664" s="627">
        <f t="shared" si="1373"/>
        <v>44652</v>
      </c>
      <c r="AX664" s="627">
        <f t="shared" si="1374" ref="AX664:BJ664">INDEX(MO_Common_QEndDate,0,COLUMN())-INDEX(MO_Common_FPDays,0,COLUMN())+1</f>
        <v>44743</v>
      </c>
      <c r="AY664" s="627">
        <f t="shared" si="1374"/>
        <v>44835</v>
      </c>
      <c r="AZ664" s="627">
        <f t="shared" si="1374"/>
        <v>44562</v>
      </c>
      <c r="BA664" s="627">
        <f t="shared" si="1375" ref="BA664:BI664">INDEX(MO_Common_QEndDate,0,COLUMN())-INDEX(MO_Common_FPDays,0,COLUMN())+1</f>
        <v>44927</v>
      </c>
      <c r="BB664" s="627">
        <f t="shared" si="1375"/>
        <v>45017</v>
      </c>
      <c r="BC664" s="627">
        <f t="shared" si="1375"/>
        <v>45108</v>
      </c>
      <c r="BD664" s="627">
        <f t="shared" si="1375"/>
        <v>45200</v>
      </c>
      <c r="BE664" s="627">
        <f t="shared" si="1375"/>
        <v>44927</v>
      </c>
      <c r="BF664" s="627">
        <f>INDEX(MO_Common_QEndDate,0,COLUMN())-INDEX(MO_Common_FPDays,0,COLUMN())+1</f>
        <v>45292</v>
      </c>
      <c r="BG664" s="627">
        <f>INDEX(MO_Common_QEndDate,0,COLUMN())-INDEX(MO_Common_FPDays,0,COLUMN())+1</f>
        <v>45383</v>
      </c>
      <c r="BH664" s="628">
        <f>INDEX(MO_Common_QEndDate,0,COLUMN())-INDEX(MO_Common_FPDays,0,COLUMN())+1</f>
        <v>45474</v>
      </c>
      <c r="BI664" s="255">
        <f t="shared" si="1375"/>
        <v>45566</v>
      </c>
      <c r="BJ664" s="255">
        <f t="shared" si="1374"/>
        <v>45292</v>
      </c>
      <c r="BK664" s="255">
        <f t="shared" si="1376" ref="BK664:BR664">INDEX(MO_Common_QEndDate,0,COLUMN())-INDEX(MO_Common_FPDays,0,COLUMN())+1</f>
        <v>45658</v>
      </c>
      <c r="BL664" s="255">
        <f t="shared" si="1376"/>
        <v>45748</v>
      </c>
      <c r="BM664" s="255">
        <f t="shared" si="1376"/>
        <v>45839</v>
      </c>
      <c r="BN664" s="255">
        <f t="shared" si="1376"/>
        <v>45931</v>
      </c>
      <c r="BO664" s="255">
        <f t="shared" si="1376"/>
        <v>45658</v>
      </c>
      <c r="BP664" s="627">
        <f t="shared" si="1376"/>
        <v>46023</v>
      </c>
      <c r="BQ664" s="627">
        <f t="shared" si="1376"/>
        <v>46388</v>
      </c>
      <c r="BR664" s="629">
        <f t="shared" si="1376"/>
        <v>46753</v>
      </c>
      <c r="BS664" s="366"/>
    </row>
    <row r="665" spans="1:71" s="692" customFormat="1" ht="15">
      <c r="A665" s="254" t="s">
        <v>466</v>
      </c>
      <c r="B665" s="954"/>
      <c r="C665" s="626" t="b">
        <f>TRUE</f>
        <v>1</v>
      </c>
      <c r="D665" s="626" t="b">
        <f>TRUE</f>
        <v>1</v>
      </c>
      <c r="E665" s="627" t="b">
        <f>TRUE</f>
        <v>1</v>
      </c>
      <c r="F665" s="627" t="b">
        <f>TRUE</f>
        <v>1</v>
      </c>
      <c r="G665" s="627" t="b">
        <f>TRUE</f>
        <v>1</v>
      </c>
      <c r="H665" s="627" t="b">
        <f>TRUE</f>
        <v>1</v>
      </c>
      <c r="I665" s="627" t="b">
        <f>TRUE</f>
        <v>1</v>
      </c>
      <c r="J665" s="627" t="b">
        <f>TRUE</f>
        <v>1</v>
      </c>
      <c r="K665" s="627" t="b">
        <f>TRUE</f>
        <v>1</v>
      </c>
      <c r="L665" s="627" t="b">
        <f>TRUE</f>
        <v>1</v>
      </c>
      <c r="M665" s="627" t="b">
        <f>TRUE</f>
        <v>1</v>
      </c>
      <c r="N665" s="627" t="b">
        <f>TRUE</f>
        <v>1</v>
      </c>
      <c r="O665" s="627" t="b">
        <f>TRUE</f>
        <v>1</v>
      </c>
      <c r="P665" s="627" t="b">
        <f>TRUE</f>
        <v>1</v>
      </c>
      <c r="Q665" s="627" t="b">
        <f>TRUE</f>
        <v>1</v>
      </c>
      <c r="R665" s="627" t="b">
        <f>TRUE</f>
        <v>1</v>
      </c>
      <c r="S665" s="627" t="b">
        <f>TRUE</f>
        <v>1</v>
      </c>
      <c r="T665" s="627" t="b">
        <f>TRUE</f>
        <v>1</v>
      </c>
      <c r="U665" s="627" t="b">
        <f>TRUE</f>
        <v>1</v>
      </c>
      <c r="V665" s="627" t="b">
        <f>TRUE</f>
        <v>1</v>
      </c>
      <c r="W665" s="627" t="b">
        <f>TRUE</f>
        <v>1</v>
      </c>
      <c r="X665" s="627" t="b">
        <f>TRUE</f>
        <v>1</v>
      </c>
      <c r="Y665" s="627" t="b">
        <f>TRUE</f>
        <v>1</v>
      </c>
      <c r="Z665" s="627" t="b">
        <f>TRUE</f>
        <v>1</v>
      </c>
      <c r="AA665" s="627" t="b">
        <f>TRUE</f>
        <v>1</v>
      </c>
      <c r="AB665" s="627" t="b">
        <f>TRUE</f>
        <v>1</v>
      </c>
      <c r="AC665" s="627" t="b">
        <f>TRUE</f>
        <v>1</v>
      </c>
      <c r="AD665" s="627" t="b">
        <f>TRUE</f>
        <v>1</v>
      </c>
      <c r="AE665" s="627" t="b">
        <f>TRUE</f>
        <v>1</v>
      </c>
      <c r="AF665" s="627" t="b">
        <f>TRUE</f>
        <v>1</v>
      </c>
      <c r="AG665" s="627" t="b">
        <f>TRUE</f>
        <v>1</v>
      </c>
      <c r="AH665" s="627" t="b">
        <f>TRUE</f>
        <v>1</v>
      </c>
      <c r="AI665" s="627" t="b">
        <f>TRUE</f>
        <v>1</v>
      </c>
      <c r="AJ665" s="627" t="b">
        <f>TRUE</f>
        <v>1</v>
      </c>
      <c r="AK665" s="627" t="b">
        <f>TRUE</f>
        <v>1</v>
      </c>
      <c r="AL665" s="627" t="b">
        <f>TRUE</f>
        <v>1</v>
      </c>
      <c r="AM665" s="627" t="b">
        <f>TRUE</f>
        <v>1</v>
      </c>
      <c r="AN665" s="627" t="b">
        <f>TRUE</f>
        <v>1</v>
      </c>
      <c r="AO665" s="627" t="b">
        <f>TRUE</f>
        <v>1</v>
      </c>
      <c r="AP665" s="627" t="b">
        <f>TRUE</f>
        <v>1</v>
      </c>
      <c r="AQ665" s="627" t="b">
        <f>TRUE</f>
        <v>1</v>
      </c>
      <c r="AR665" s="627" t="b">
        <f>TRUE</f>
        <v>1</v>
      </c>
      <c r="AS665" s="627" t="b">
        <f>TRUE</f>
        <v>1</v>
      </c>
      <c r="AT665" s="627" t="b">
        <f>TRUE</f>
        <v>1</v>
      </c>
      <c r="AU665" s="627" t="b">
        <f>TRUE</f>
        <v>1</v>
      </c>
      <c r="AV665" s="627" t="b">
        <f>TRUE</f>
        <v>1</v>
      </c>
      <c r="AW665" s="627" t="b">
        <f>TRUE</f>
        <v>1</v>
      </c>
      <c r="AX665" s="627" t="b">
        <f>TRUE</f>
        <v>1</v>
      </c>
      <c r="AY665" s="627" t="b">
        <f>TRUE</f>
        <v>1</v>
      </c>
      <c r="AZ665" s="627" t="b">
        <f>TRUE</f>
        <v>1</v>
      </c>
      <c r="BA665" s="627" t="b">
        <f>TRUE</f>
        <v>1</v>
      </c>
      <c r="BB665" s="627" t="b">
        <f>TRUE</f>
        <v>1</v>
      </c>
      <c r="BC665" s="627" t="b">
        <f>TRUE</f>
        <v>1</v>
      </c>
      <c r="BD665" s="627" t="b">
        <f>TRUE</f>
        <v>1</v>
      </c>
      <c r="BE665" s="627" t="b">
        <f>TRUE</f>
        <v>1</v>
      </c>
      <c r="BF665" s="627" t="b">
        <f>TRUE</f>
        <v>1</v>
      </c>
      <c r="BG665" s="627" t="b">
        <f>TRUE</f>
        <v>1</v>
      </c>
      <c r="BH665" s="628" t="b">
        <f>TRUE</f>
        <v>1</v>
      </c>
      <c r="BI665" s="255" t="b">
        <f>FALSE</f>
        <v>0</v>
      </c>
      <c r="BJ665" s="255" t="b">
        <f>FALSE</f>
        <v>0</v>
      </c>
      <c r="BK665" s="255" t="b">
        <f>FALSE</f>
        <v>0</v>
      </c>
      <c r="BL665" s="255" t="b">
        <f>FALSE</f>
        <v>0</v>
      </c>
      <c r="BM665" s="255" t="b">
        <f>FALSE</f>
        <v>0</v>
      </c>
      <c r="BN665" s="255" t="b">
        <f>FALSE</f>
        <v>0</v>
      </c>
      <c r="BO665" s="255" t="b">
        <f>FALSE</f>
        <v>0</v>
      </c>
      <c r="BP665" s="627" t="b">
        <f>FALSE</f>
        <v>0</v>
      </c>
      <c r="BQ665" s="627" t="b">
        <f>FALSE</f>
        <v>0</v>
      </c>
      <c r="BR665" s="629" t="b">
        <f>FALSE</f>
        <v>0</v>
      </c>
      <c r="BS665" s="366"/>
    </row>
    <row r="666" spans="1:71" s="690" customFormat="1" ht="15">
      <c r="A666" s="256" t="str">
        <f ca="1">"Stock High: "&amp;IF(OR(MO.RealTimeStockPriceToggle=FALSE,VLOOKUP(MO.DataSourceName,MO_SPT_StockHigh_Sources,COLUMN()+2,FALSE)="N/A"),"Real-Time Off Source",MO.DataSourceName)</f>
        <v>Stock High: Real-Time Off Source</v>
      </c>
      <c r="B666" s="257"/>
      <c r="C666" s="436">
        <f ca="1" t="shared" si="1377" ref="C666:AK666">IF(OR(MO.RealTimeStockPriceToggle=FALSE,VLOOKUP(MO.DataSourceName,MO_SPT_StockHigh_Sources,COLUMN(),FALSE)="N/A"),VLOOKUP("Real-Time Off Source",MO_SPT_StockHigh_Sources,COLUMN(),FALSE),VLOOKUP(MO.DataSourceName,MO_SPT_StockHigh_Sources,COLUMN(),FALSE))</f>
        <v>26.63</v>
      </c>
      <c r="D666" s="436">
        <f t="shared" ca="1" si="1377"/>
        <v>32.75</v>
      </c>
      <c r="E666" s="289">
        <f t="shared" ca="1" si="1377"/>
        <v>37.50</v>
      </c>
      <c r="F666" s="289">
        <f t="shared" ca="1" si="1377"/>
        <v>40.54</v>
      </c>
      <c r="G666" s="289">
        <f t="shared" ca="1" si="1377"/>
        <v>58.44</v>
      </c>
      <c r="H666" s="289">
        <f t="shared" ca="1" si="1377"/>
        <v>58.26</v>
      </c>
      <c r="I666" s="289">
        <f t="shared" ca="1" si="1377"/>
        <v>60</v>
      </c>
      <c r="J666" s="289">
        <f t="shared" ca="1" si="1377"/>
        <v>60.64</v>
      </c>
      <c r="K666" s="289">
        <f t="shared" ca="1" si="1377"/>
        <v>62.55</v>
      </c>
      <c r="L666" s="289">
        <f t="shared" ca="1" si="1377"/>
        <v>62.55</v>
      </c>
      <c r="M666" s="289">
        <f t="shared" ca="1" si="1377"/>
        <v>65.510000000000005</v>
      </c>
      <c r="N666" s="289">
        <f t="shared" ca="1" si="1377"/>
        <v>66.72</v>
      </c>
      <c r="O666" s="289">
        <f t="shared" ca="1" si="1377"/>
        <v>73.650000000000006</v>
      </c>
      <c r="P666" s="289">
        <f t="shared" ca="1" si="1377"/>
        <v>75.680000000000007</v>
      </c>
      <c r="Q666" s="289">
        <f t="shared" ca="1" si="1377"/>
        <v>75.680000000000007</v>
      </c>
      <c r="R666" s="289">
        <f t="shared" ca="1" si="1377"/>
        <v>71.66</v>
      </c>
      <c r="S666" s="289">
        <f t="shared" ca="1" si="1377"/>
        <v>73.95</v>
      </c>
      <c r="T666" s="289">
        <f t="shared" ca="1" si="1377"/>
        <v>76.03</v>
      </c>
      <c r="U666" s="289">
        <f t="shared" ca="1" si="1377"/>
        <v>88.54</v>
      </c>
      <c r="V666" s="289">
        <f t="shared" ca="1" si="1377"/>
        <v>88.54</v>
      </c>
      <c r="W666" s="289">
        <f t="shared" ca="1" si="1377"/>
        <v>97</v>
      </c>
      <c r="X666" s="289">
        <f t="shared" ca="1" si="1377"/>
        <v>103.19</v>
      </c>
      <c r="Y666" s="289">
        <f t="shared" ca="1" si="1377"/>
        <v>105.58</v>
      </c>
      <c r="Z666" s="289">
        <f t="shared" ca="1" si="1377"/>
        <v>109.41</v>
      </c>
      <c r="AA666" s="289">
        <f t="shared" ca="1" si="1377"/>
        <v>109.41</v>
      </c>
      <c r="AB666" s="289">
        <f t="shared" ca="1" si="1377"/>
        <v>115.4453</v>
      </c>
      <c r="AC666" s="289">
        <f t="shared" ca="1" si="1377"/>
        <v>110.3028</v>
      </c>
      <c r="AD666" s="289">
        <f t="shared" ca="1" si="1377"/>
        <v>111.7474</v>
      </c>
      <c r="AE666" s="289">
        <f t="shared" ca="1" si="1377"/>
        <v>109.51909999999999</v>
      </c>
      <c r="AF666" s="289">
        <f t="shared" ca="1" si="1377"/>
        <v>115.4453</v>
      </c>
      <c r="AG666" s="289">
        <f t="shared" ca="1" si="1377"/>
        <v>99.85</v>
      </c>
      <c r="AH666" s="289">
        <f t="shared" ca="1" si="1377"/>
        <v>104.43000000000001</v>
      </c>
      <c r="AI666" s="289">
        <f t="shared" ca="1" si="1377"/>
        <v>109.25</v>
      </c>
      <c r="AJ666" s="289">
        <f t="shared" ca="1" si="1377"/>
        <v>111.58</v>
      </c>
      <c r="AK666" s="289">
        <f t="shared" ca="1" si="1377"/>
        <v>111.58</v>
      </c>
      <c r="AL666" s="289">
        <f ca="1" t="shared" si="1378" ref="AL666:AQ666">IF(OR(MO.RealTimeStockPriceToggle=FALSE,VLOOKUP(MO.DataSourceName,MO_SPT_StockHigh_Sources,COLUMN(),FALSE)="N/A"),VLOOKUP("Real-Time Off Source",MO_SPT_StockHigh_Sources,COLUMN(),FALSE),VLOOKUP(MO.DataSourceName,MO_SPT_StockHigh_Sources,COLUMN(),FALSE))</f>
        <v>114.53</v>
      </c>
      <c r="AM666" s="289">
        <f t="shared" ca="1" si="1378"/>
        <v>80.489999999999995</v>
      </c>
      <c r="AN666" s="289">
        <f t="shared" ca="1" si="1378"/>
        <v>69.629999999999995</v>
      </c>
      <c r="AO666" s="289">
        <f t="shared" ca="1" si="1378"/>
        <v>94.76</v>
      </c>
      <c r="AP666" s="289">
        <f t="shared" ca="1" si="1378"/>
        <v>114.53</v>
      </c>
      <c r="AQ666" s="289">
        <f t="shared" ca="1" si="1378"/>
        <v>118.50</v>
      </c>
      <c r="AR666" s="289">
        <f ca="1" t="shared" si="1379" ref="AR666:AW666">IF(OR(MO.RealTimeStockPriceToggle=FALSE,VLOOKUP(MO.DataSourceName,MO_SPT_StockHigh_Sources,COLUMN(),FALSE)="N/A"),VLOOKUP("Real-Time Off Source",MO_SPT_StockHigh_Sources,COLUMN(),FALSE),VLOOKUP(MO.DataSourceName,MO_SPT_StockHigh_Sources,COLUMN(),FALSE))</f>
        <v>140.28999999999999</v>
      </c>
      <c r="AS666" s="289">
        <f t="shared" ca="1" si="1379"/>
        <v>138.61000000000001</v>
      </c>
      <c r="AT666" s="289">
        <f t="shared" ca="1" si="1379"/>
        <v>145.68000000000001</v>
      </c>
      <c r="AU666" s="289">
        <f t="shared" ca="1" si="1379"/>
        <v>145.68000000000001</v>
      </c>
      <c r="AV666" s="289">
        <f t="shared" ca="1" si="1379"/>
        <v>150.22</v>
      </c>
      <c r="AW666" s="289">
        <f t="shared" ca="1" si="1379"/>
        <v>149.09999999999999</v>
      </c>
      <c r="AX666" s="289">
        <f ca="1" t="shared" si="1380" ref="AX666:BJ666">IF(OR(MO.RealTimeStockPriceToggle=FALSE,VLOOKUP(MO.DataSourceName,MO_SPT_StockHigh_Sources,COLUMN(),FALSE)="N/A"),VLOOKUP("Real-Time Off Source",MO_SPT_StockHigh_Sources,COLUMN(),FALSE),VLOOKUP(MO.DataSourceName,MO_SPT_StockHigh_Sources,COLUMN(),FALSE))</f>
        <v>142.59999999999999</v>
      </c>
      <c r="AY666" s="289">
        <f t="shared" ca="1" si="1380"/>
        <v>148.66</v>
      </c>
      <c r="AZ666" s="289">
        <f t="shared" ca="1" si="1380"/>
        <v>150.22</v>
      </c>
      <c r="BA666" s="289">
        <f ca="1" t="shared" si="1381" ref="BA666:BI666">IF(OR(MO.RealTimeStockPriceToggle=FALSE,VLOOKUP(MO.DataSourceName,MO_SPT_StockHigh_Sources,COLUMN(),FALSE)="N/A"),VLOOKUP("Real-Time Off Source",MO_SPT_StockHigh_Sources,COLUMN(),FALSE),VLOOKUP(MO.DataSourceName,MO_SPT_StockHigh_Sources,COLUMN(),FALSE))</f>
        <v>143.12</v>
      </c>
      <c r="BB666" s="289">
        <f t="shared" ca="1" si="1381"/>
        <v>123.91</v>
      </c>
      <c r="BC666" s="289">
        <f t="shared" ca="1" si="1381"/>
        <v>122.75</v>
      </c>
      <c r="BD666" s="289">
        <f t="shared" ca="1" si="1381"/>
        <v>121.90000000000001</v>
      </c>
      <c r="BE666" s="289">
        <f t="shared" ca="1" si="1381"/>
        <v>143.12</v>
      </c>
      <c r="BF666" s="289">
        <f ca="1">IF(OR(MO.RealTimeStockPriceToggle=FALSE,VLOOKUP(MO.DataSourceName,MO_SPT_StockHigh_Sources,COLUMN(),FALSE)="N/A"),VLOOKUP("Real-Time Off Source",MO_SPT_StockHigh_Sources,COLUMN(),FALSE),VLOOKUP(MO.DataSourceName,MO_SPT_StockHigh_Sources,COLUMN(),FALSE))</f>
        <v>136.80000000000001</v>
      </c>
      <c r="BG666" s="289">
        <f ca="1">IF(OR(MO.RealTimeStockPriceToggle=FALSE,VLOOKUP(MO.DataSourceName,MO_SPT_StockHigh_Sources,COLUMN(),FALSE)="N/A"),VLOOKUP("Real-Time Off Source",MO_SPT_StockHigh_Sources,COLUMN(),FALSE),VLOOKUP(MO.DataSourceName,MO_SPT_StockHigh_Sources,COLUMN(),FALSE))</f>
        <v>135.33000000000001</v>
      </c>
      <c r="BH666" s="266">
        <f ca="1">IF(OR(MO.RealTimeStockPriceToggle=FALSE,VLOOKUP(MO.DataSourceName,MO_SPT_StockHigh_Sources,COLUMN(),FALSE)="N/A"),VLOOKUP("Real-Time Off Source",MO_SPT_StockHigh_Sources,COLUMN(),FALSE),VLOOKUP(MO.DataSourceName,MO_SPT_StockHigh_Sources,COLUMN(),FALSE))</f>
        <v>133.17027200000001</v>
      </c>
      <c r="BI666" s="257">
        <f t="shared" ca="1" si="1381"/>
        <v>0</v>
      </c>
      <c r="BJ666" s="257">
        <f t="shared" ca="1" si="1380"/>
        <v>0</v>
      </c>
      <c r="BK666" s="257">
        <f ca="1" t="shared" si="1382" ref="BK666:BR666">IF(OR(MO.RealTimeStockPriceToggle=FALSE,VLOOKUP(MO.DataSourceName,MO_SPT_StockHigh_Sources,COLUMN(),FALSE)="N/A"),VLOOKUP("Real-Time Off Source",MO_SPT_StockHigh_Sources,COLUMN(),FALSE),VLOOKUP(MO.DataSourceName,MO_SPT_StockHigh_Sources,COLUMN(),FALSE))</f>
        <v>0</v>
      </c>
      <c r="BL666" s="257">
        <f t="shared" ca="1" si="1382"/>
        <v>0</v>
      </c>
      <c r="BM666" s="257">
        <f t="shared" ca="1" si="1382"/>
        <v>0</v>
      </c>
      <c r="BN666" s="257">
        <f t="shared" ca="1" si="1382"/>
        <v>0</v>
      </c>
      <c r="BO666" s="257">
        <f t="shared" ca="1" si="1382"/>
        <v>0</v>
      </c>
      <c r="BP666" s="289">
        <f t="shared" ca="1" si="1382"/>
        <v>0</v>
      </c>
      <c r="BQ666" s="289">
        <f t="shared" ca="1" si="1382"/>
        <v>0</v>
      </c>
      <c r="BR666" s="258">
        <f t="shared" ca="1" si="1382"/>
        <v>0</v>
      </c>
      <c r="BS666" s="371"/>
    </row>
    <row r="667" spans="1:71" s="690" customFormat="1" ht="15" hidden="1" outlineLevel="1">
      <c r="A667" s="259" t="s">
        <v>395</v>
      </c>
      <c r="B667" s="257"/>
      <c r="C667" s="1097">
        <v>26.63</v>
      </c>
      <c r="D667" s="1097">
        <v>32.75</v>
      </c>
      <c r="E667" s="1098">
        <v>37.50</v>
      </c>
      <c r="F667" s="1098">
        <v>40.54</v>
      </c>
      <c r="G667" s="1098">
        <v>58.44</v>
      </c>
      <c r="H667" s="1098">
        <v>58.26</v>
      </c>
      <c r="I667" s="1098">
        <v>60</v>
      </c>
      <c r="J667" s="1098">
        <v>60.64</v>
      </c>
      <c r="K667" s="1098">
        <v>62.55</v>
      </c>
      <c r="L667" s="1098">
        <v>62.55</v>
      </c>
      <c r="M667" s="1098">
        <v>65.510000000000005</v>
      </c>
      <c r="N667" s="1098">
        <v>66.72</v>
      </c>
      <c r="O667" s="1098">
        <v>73.650000000000006</v>
      </c>
      <c r="P667" s="1098">
        <v>75.680000000000007</v>
      </c>
      <c r="Q667" s="1098">
        <v>75.680000000000007</v>
      </c>
      <c r="R667" s="1098">
        <v>71.66</v>
      </c>
      <c r="S667" s="1098">
        <v>73.95</v>
      </c>
      <c r="T667" s="1098">
        <v>76.03</v>
      </c>
      <c r="U667" s="1098">
        <v>88.54</v>
      </c>
      <c r="V667" s="1098">
        <v>88.54</v>
      </c>
      <c r="W667" s="1098">
        <v>97</v>
      </c>
      <c r="X667" s="1098">
        <v>103.19</v>
      </c>
      <c r="Y667" s="1098">
        <v>105.58</v>
      </c>
      <c r="Z667" s="1098">
        <v>109.41</v>
      </c>
      <c r="AA667" s="1098">
        <v>109.41</v>
      </c>
      <c r="AB667" s="1098">
        <v>115.4453</v>
      </c>
      <c r="AC667" s="1098">
        <v>110.3028</v>
      </c>
      <c r="AD667" s="1098">
        <v>111.7474</v>
      </c>
      <c r="AE667" s="1098">
        <v>109.51909999999999</v>
      </c>
      <c r="AF667" s="1098">
        <v>115.4453</v>
      </c>
      <c r="AG667" s="1098">
        <v>99.85</v>
      </c>
      <c r="AH667" s="1098">
        <v>104.43000000000001</v>
      </c>
      <c r="AI667" s="1098">
        <v>109.25</v>
      </c>
      <c r="AJ667" s="1098">
        <v>111.58</v>
      </c>
      <c r="AK667" s="1098">
        <v>111.58</v>
      </c>
      <c r="AL667" s="1098">
        <v>114.53</v>
      </c>
      <c r="AM667" s="1098">
        <v>80.489999999999995</v>
      </c>
      <c r="AN667" s="1098">
        <v>69.629999999999995</v>
      </c>
      <c r="AO667" s="1098">
        <v>94.76</v>
      </c>
      <c r="AP667" s="1098">
        <v>114.53</v>
      </c>
      <c r="AQ667" s="1098">
        <v>118.50</v>
      </c>
      <c r="AR667" s="1098">
        <v>140.28999999999999</v>
      </c>
      <c r="AS667" s="1098">
        <v>138.61000000000001</v>
      </c>
      <c r="AT667" s="1098">
        <v>145.68000000000001</v>
      </c>
      <c r="AU667" s="1098">
        <v>145.68000000000001</v>
      </c>
      <c r="AV667" s="1098">
        <v>150.22</v>
      </c>
      <c r="AW667" s="1098">
        <v>149.09999999999999</v>
      </c>
      <c r="AX667" s="1098">
        <v>142.59999999999999</v>
      </c>
      <c r="AY667" s="1098">
        <v>148.66</v>
      </c>
      <c r="AZ667" s="1098">
        <v>150.22</v>
      </c>
      <c r="BA667" s="1098">
        <v>143.12</v>
      </c>
      <c r="BB667" s="1098">
        <v>123.91</v>
      </c>
      <c r="BC667" s="1098">
        <v>122.75</v>
      </c>
      <c r="BD667" s="1098">
        <v>121.90000000000001</v>
      </c>
      <c r="BE667" s="1098">
        <v>143.12</v>
      </c>
      <c r="BF667" s="1098">
        <v>136.80000000000001</v>
      </c>
      <c r="BG667" s="1098">
        <v>135.33000000000001</v>
      </c>
      <c r="BH667" s="1099">
        <v>133.17027200000001</v>
      </c>
      <c r="BI667" s="257"/>
      <c r="BJ667" s="257"/>
      <c r="BK667" s="257"/>
      <c r="BL667" s="257"/>
      <c r="BM667" s="257"/>
      <c r="BN667" s="257"/>
      <c r="BO667" s="257"/>
      <c r="BP667" s="289"/>
      <c r="BQ667" s="289"/>
      <c r="BR667" s="258"/>
      <c r="BS667" s="371"/>
    </row>
    <row r="668" spans="1:71" s="690" customFormat="1" ht="15" hidden="1" outlineLevel="1">
      <c r="A668" s="259" t="s">
        <v>7</v>
      </c>
      <c r="B668" s="257"/>
      <c r="C668" s="436" t="str">
        <f ca="1">IFERROR(_xll.BDP(MO.Ticker.Bloomberg&amp;" Equity","INTERVAL_HIGH","MARKET_DATA_OVERRIDE=PX_LAST","START_DATE_OVERRIDE",TEXT(INDEX(MO_SNA_FPStartDate,0,COLUMN()),"YYYYMMDD"),"END_DATE_OVERRIDE",TEXT(INDEX(MO_Common_QEndDate,0,COLUMN()),"YYYYMMDD")),"N/A")</f>
        <v>N/A</v>
      </c>
      <c r="D668" s="436" t="str">
        <f ca="1">IFERROR(_xll.BDP(MO.Ticker.Bloomberg&amp;" Equity","INTERVAL_HIGH","MARKET_DATA_OVERRIDE=PX_LAST","START_DATE_OVERRIDE",TEXT(INDEX(MO_SNA_FPStartDate,0,COLUMN()),"YYYYMMDD"),"END_DATE_OVERRIDE",TEXT(INDEX(MO_Common_QEndDate,0,COLUMN()),"YYYYMMDD")),"N/A")</f>
        <v>N/A</v>
      </c>
      <c r="E668" s="289" t="str">
        <f ca="1">IFERROR(_xll.BDP(MO.Ticker.Bloomberg&amp;" Equity","INTERVAL_HIGH","MARKET_DATA_OVERRIDE=PX_LAST","START_DATE_OVERRIDE",TEXT(INDEX(MO_SNA_FPStartDate,0,COLUMN()),"YYYYMMDD"),"END_DATE_OVERRIDE",TEXT(INDEX(MO_Common_QEndDate,0,COLUMN()),"YYYYMMDD")),"N/A")</f>
        <v>N/A</v>
      </c>
      <c r="F668" s="289" t="str">
        <f ca="1">IFERROR(_xll.BDP(MO.Ticker.Bloomberg&amp;" Equity","INTERVAL_HIGH","MARKET_DATA_OVERRIDE=PX_LAST","START_DATE_OVERRIDE",TEXT(INDEX(MO_SNA_FPStartDate,0,COLUMN()),"YYYYMMDD"),"END_DATE_OVERRIDE",TEXT(INDEX(MO_Common_QEndDate,0,COLUMN()),"YYYYMMDD")),"N/A")</f>
        <v>N/A</v>
      </c>
      <c r="G668" s="289" t="str">
        <f ca="1">IFERROR(_xll.BDP(MO.Ticker.Bloomberg&amp;" Equity","INTERVAL_HIGH","MARKET_DATA_OVERRIDE=PX_LAST","START_DATE_OVERRIDE",TEXT(INDEX(MO_SNA_FPStartDate,0,COLUMN()),"YYYYMMDD"),"END_DATE_OVERRIDE",TEXT(INDEX(MO_Common_QEndDate,0,COLUMN()),"YYYYMMDD")),"N/A")</f>
        <v>N/A</v>
      </c>
      <c r="H668" s="289" t="str">
        <f ca="1">IFERROR(_xll.BDP(MO.Ticker.Bloomberg&amp;" Equity","INTERVAL_HIGH","MARKET_DATA_OVERRIDE=PX_LAST","START_DATE_OVERRIDE",TEXT(INDEX(MO_SNA_FPStartDate,0,COLUMN()),"YYYYMMDD"),"END_DATE_OVERRIDE",TEXT(INDEX(MO_Common_QEndDate,0,COLUMN()),"YYYYMMDD")),"N/A")</f>
        <v>N/A</v>
      </c>
      <c r="I668" s="289" t="str">
        <f ca="1">IFERROR(_xll.BDP(MO.Ticker.Bloomberg&amp;" Equity","INTERVAL_HIGH","MARKET_DATA_OVERRIDE=PX_LAST","START_DATE_OVERRIDE",TEXT(INDEX(MO_SNA_FPStartDate,0,COLUMN()),"YYYYMMDD"),"END_DATE_OVERRIDE",TEXT(INDEX(MO_Common_QEndDate,0,COLUMN()),"YYYYMMDD")),"N/A")</f>
        <v>N/A</v>
      </c>
      <c r="J668" s="289" t="str">
        <f ca="1">IFERROR(_xll.BDP(MO.Ticker.Bloomberg&amp;" Equity","INTERVAL_HIGH","MARKET_DATA_OVERRIDE=PX_LAST","START_DATE_OVERRIDE",TEXT(INDEX(MO_SNA_FPStartDate,0,COLUMN()),"YYYYMMDD"),"END_DATE_OVERRIDE",TEXT(INDEX(MO_Common_QEndDate,0,COLUMN()),"YYYYMMDD")),"N/A")</f>
        <v>N/A</v>
      </c>
      <c r="K668" s="289" t="str">
        <f ca="1">IFERROR(_xll.BDP(MO.Ticker.Bloomberg&amp;" Equity","INTERVAL_HIGH","MARKET_DATA_OVERRIDE=PX_LAST","START_DATE_OVERRIDE",TEXT(INDEX(MO_SNA_FPStartDate,0,COLUMN()),"YYYYMMDD"),"END_DATE_OVERRIDE",TEXT(INDEX(MO_Common_QEndDate,0,COLUMN()),"YYYYMMDD")),"N/A")</f>
        <v>N/A</v>
      </c>
      <c r="L668" s="289" t="str">
        <f ca="1">IFERROR(_xll.BDP(MO.Ticker.Bloomberg&amp;" Equity","INTERVAL_HIGH","MARKET_DATA_OVERRIDE=PX_LAST","START_DATE_OVERRIDE",TEXT(INDEX(MO_SNA_FPStartDate,0,COLUMN()),"YYYYMMDD"),"END_DATE_OVERRIDE",TEXT(INDEX(MO_Common_QEndDate,0,COLUMN()),"YYYYMMDD")),"N/A")</f>
        <v>N/A</v>
      </c>
      <c r="M668" s="289" t="str">
        <f ca="1">IFERROR(_xll.BDP(MO.Ticker.Bloomberg&amp;" Equity","INTERVAL_HIGH","MARKET_DATA_OVERRIDE=PX_LAST","START_DATE_OVERRIDE",TEXT(INDEX(MO_SNA_FPStartDate,0,COLUMN()),"YYYYMMDD"),"END_DATE_OVERRIDE",TEXT(INDEX(MO_Common_QEndDate,0,COLUMN()),"YYYYMMDD")),"N/A")</f>
        <v>N/A</v>
      </c>
      <c r="N668" s="289" t="str">
        <f ca="1">IFERROR(_xll.BDP(MO.Ticker.Bloomberg&amp;" Equity","INTERVAL_HIGH","MARKET_DATA_OVERRIDE=PX_LAST","START_DATE_OVERRIDE",TEXT(INDEX(MO_SNA_FPStartDate,0,COLUMN()),"YYYYMMDD"),"END_DATE_OVERRIDE",TEXT(INDEX(MO_Common_QEndDate,0,COLUMN()),"YYYYMMDD")),"N/A")</f>
        <v>N/A</v>
      </c>
      <c r="O668" s="289" t="str">
        <f ca="1">IFERROR(_xll.BDP(MO.Ticker.Bloomberg&amp;" Equity","INTERVAL_HIGH","MARKET_DATA_OVERRIDE=PX_LAST","START_DATE_OVERRIDE",TEXT(INDEX(MO_SNA_FPStartDate,0,COLUMN()),"YYYYMMDD"),"END_DATE_OVERRIDE",TEXT(INDEX(MO_Common_QEndDate,0,COLUMN()),"YYYYMMDD")),"N/A")</f>
        <v>N/A</v>
      </c>
      <c r="P668" s="289" t="str">
        <f ca="1">IFERROR(_xll.BDP(MO.Ticker.Bloomberg&amp;" Equity","INTERVAL_HIGH","MARKET_DATA_OVERRIDE=PX_LAST","START_DATE_OVERRIDE",TEXT(INDEX(MO_SNA_FPStartDate,0,COLUMN()),"YYYYMMDD"),"END_DATE_OVERRIDE",TEXT(INDEX(MO_Common_QEndDate,0,COLUMN()),"YYYYMMDD")),"N/A")</f>
        <v>N/A</v>
      </c>
      <c r="Q668" s="289" t="str">
        <f ca="1">IFERROR(_xll.BDP(MO.Ticker.Bloomberg&amp;" Equity","INTERVAL_HIGH","MARKET_DATA_OVERRIDE=PX_LAST","START_DATE_OVERRIDE",TEXT(INDEX(MO_SNA_FPStartDate,0,COLUMN()),"YYYYMMDD"),"END_DATE_OVERRIDE",TEXT(INDEX(MO_Common_QEndDate,0,COLUMN()),"YYYYMMDD")),"N/A")</f>
        <v>N/A</v>
      </c>
      <c r="R668" s="289" t="str">
        <f ca="1">IFERROR(_xll.BDP(MO.Ticker.Bloomberg&amp;" Equity","INTERVAL_HIGH","MARKET_DATA_OVERRIDE=PX_LAST","START_DATE_OVERRIDE",TEXT(INDEX(MO_SNA_FPStartDate,0,COLUMN()),"YYYYMMDD"),"END_DATE_OVERRIDE",TEXT(INDEX(MO_Common_QEndDate,0,COLUMN()),"YYYYMMDD")),"N/A")</f>
        <v>N/A</v>
      </c>
      <c r="S668" s="289" t="str">
        <f ca="1">IFERROR(_xll.BDP(MO.Ticker.Bloomberg&amp;" Equity","INTERVAL_HIGH","MARKET_DATA_OVERRIDE=PX_LAST","START_DATE_OVERRIDE",TEXT(INDEX(MO_SNA_FPStartDate,0,COLUMN()),"YYYYMMDD"),"END_DATE_OVERRIDE",TEXT(INDEX(MO_Common_QEndDate,0,COLUMN()),"YYYYMMDD")),"N/A")</f>
        <v>N/A</v>
      </c>
      <c r="T668" s="289" t="str">
        <f ca="1">IFERROR(_xll.BDP(MO.Ticker.Bloomberg&amp;" Equity","INTERVAL_HIGH","MARKET_DATA_OVERRIDE=PX_LAST","START_DATE_OVERRIDE",TEXT(INDEX(MO_SNA_FPStartDate,0,COLUMN()),"YYYYMMDD"),"END_DATE_OVERRIDE",TEXT(INDEX(MO_Common_QEndDate,0,COLUMN()),"YYYYMMDD")),"N/A")</f>
        <v>N/A</v>
      </c>
      <c r="U668" s="289" t="str">
        <f ca="1">IFERROR(_xll.BDP(MO.Ticker.Bloomberg&amp;" Equity","INTERVAL_HIGH","MARKET_DATA_OVERRIDE=PX_LAST","START_DATE_OVERRIDE",TEXT(INDEX(MO_SNA_FPStartDate,0,COLUMN()),"YYYYMMDD"),"END_DATE_OVERRIDE",TEXT(INDEX(MO_Common_QEndDate,0,COLUMN()),"YYYYMMDD")),"N/A")</f>
        <v>N/A</v>
      </c>
      <c r="V668" s="289" t="str">
        <f ca="1">IFERROR(_xll.BDP(MO.Ticker.Bloomberg&amp;" Equity","INTERVAL_HIGH","MARKET_DATA_OVERRIDE=PX_LAST","START_DATE_OVERRIDE",TEXT(INDEX(MO_SNA_FPStartDate,0,COLUMN()),"YYYYMMDD"),"END_DATE_OVERRIDE",TEXT(INDEX(MO_Common_QEndDate,0,COLUMN()),"YYYYMMDD")),"N/A")</f>
        <v>N/A</v>
      </c>
      <c r="W668" s="289" t="str">
        <f ca="1">IFERROR(_xll.BDP(MO.Ticker.Bloomberg&amp;" Equity","INTERVAL_HIGH","MARKET_DATA_OVERRIDE=PX_LAST","START_DATE_OVERRIDE",TEXT(INDEX(MO_SNA_FPStartDate,0,COLUMN()),"YYYYMMDD"),"END_DATE_OVERRIDE",TEXT(INDEX(MO_Common_QEndDate,0,COLUMN()),"YYYYMMDD")),"N/A")</f>
        <v>N/A</v>
      </c>
      <c r="X668" s="289" t="str">
        <f ca="1">IFERROR(_xll.BDP(MO.Ticker.Bloomberg&amp;" Equity","INTERVAL_HIGH","MARKET_DATA_OVERRIDE=PX_LAST","START_DATE_OVERRIDE",TEXT(INDEX(MO_SNA_FPStartDate,0,COLUMN()),"YYYYMMDD"),"END_DATE_OVERRIDE",TEXT(INDEX(MO_Common_QEndDate,0,COLUMN()),"YYYYMMDD")),"N/A")</f>
        <v>N/A</v>
      </c>
      <c r="Y668" s="289" t="str">
        <f ca="1">IFERROR(_xll.BDP(MO.Ticker.Bloomberg&amp;" Equity","INTERVAL_HIGH","MARKET_DATA_OVERRIDE=PX_LAST","START_DATE_OVERRIDE",TEXT(INDEX(MO_SNA_FPStartDate,0,COLUMN()),"YYYYMMDD"),"END_DATE_OVERRIDE",TEXT(INDEX(MO_Common_QEndDate,0,COLUMN()),"YYYYMMDD")),"N/A")</f>
        <v>N/A</v>
      </c>
      <c r="Z668" s="289" t="str">
        <f ca="1">IFERROR(_xll.BDP(MO.Ticker.Bloomberg&amp;" Equity","INTERVAL_HIGH","MARKET_DATA_OVERRIDE=PX_LAST","START_DATE_OVERRIDE",TEXT(INDEX(MO_SNA_FPStartDate,0,COLUMN()),"YYYYMMDD"),"END_DATE_OVERRIDE",TEXT(INDEX(MO_Common_QEndDate,0,COLUMN()),"YYYYMMDD")),"N/A")</f>
        <v>N/A</v>
      </c>
      <c r="AA668" s="289" t="str">
        <f ca="1">IFERROR(_xll.BDP(MO.Ticker.Bloomberg&amp;" Equity","INTERVAL_HIGH","MARKET_DATA_OVERRIDE=PX_LAST","START_DATE_OVERRIDE",TEXT(INDEX(MO_SNA_FPStartDate,0,COLUMN()),"YYYYMMDD"),"END_DATE_OVERRIDE",TEXT(INDEX(MO_Common_QEndDate,0,COLUMN()),"YYYYMMDD")),"N/A")</f>
        <v>N/A</v>
      </c>
      <c r="AB668" s="289" t="str">
        <f ca="1">IFERROR(_xll.BDP(MO.Ticker.Bloomberg&amp;" Equity","INTERVAL_HIGH","MARKET_DATA_OVERRIDE=PX_LAST","START_DATE_OVERRIDE",TEXT(INDEX(MO_SNA_FPStartDate,0,COLUMN()),"YYYYMMDD"),"END_DATE_OVERRIDE",TEXT(INDEX(MO_Common_QEndDate,0,COLUMN()),"YYYYMMDD")),"N/A")</f>
        <v>N/A</v>
      </c>
      <c r="AC668" s="289" t="str">
        <f ca="1">IFERROR(_xll.BDP(MO.Ticker.Bloomberg&amp;" Equity","INTERVAL_HIGH","MARKET_DATA_OVERRIDE=PX_LAST","START_DATE_OVERRIDE",TEXT(INDEX(MO_SNA_FPStartDate,0,COLUMN()),"YYYYMMDD"),"END_DATE_OVERRIDE",TEXT(INDEX(MO_Common_QEndDate,0,COLUMN()),"YYYYMMDD")),"N/A")</f>
        <v>N/A</v>
      </c>
      <c r="AD668" s="289" t="str">
        <f ca="1">IFERROR(_xll.BDP(MO.Ticker.Bloomberg&amp;" Equity","INTERVAL_HIGH","MARKET_DATA_OVERRIDE=PX_LAST","START_DATE_OVERRIDE",TEXT(INDEX(MO_SNA_FPStartDate,0,COLUMN()),"YYYYMMDD"),"END_DATE_OVERRIDE",TEXT(INDEX(MO_Common_QEndDate,0,COLUMN()),"YYYYMMDD")),"N/A")</f>
        <v>N/A</v>
      </c>
      <c r="AE668" s="289" t="str">
        <f ca="1">IFERROR(_xll.BDP(MO.Ticker.Bloomberg&amp;" Equity","INTERVAL_HIGH","MARKET_DATA_OVERRIDE=PX_LAST","START_DATE_OVERRIDE",TEXT(INDEX(MO_SNA_FPStartDate,0,COLUMN()),"YYYYMMDD"),"END_DATE_OVERRIDE",TEXT(INDEX(MO_Common_QEndDate,0,COLUMN()),"YYYYMMDD")),"N/A")</f>
        <v>N/A</v>
      </c>
      <c r="AF668" s="289" t="str">
        <f ca="1">IFERROR(_xll.BDP(MO.Ticker.Bloomberg&amp;" Equity","INTERVAL_HIGH","MARKET_DATA_OVERRIDE=PX_LAST","START_DATE_OVERRIDE",TEXT(INDEX(MO_SNA_FPStartDate,0,COLUMN()),"YYYYMMDD"),"END_DATE_OVERRIDE",TEXT(INDEX(MO_Common_QEndDate,0,COLUMN()),"YYYYMMDD")),"N/A")</f>
        <v>N/A</v>
      </c>
      <c r="AG668" s="289" t="str">
        <f ca="1">IFERROR(_xll.BDP(MO.Ticker.Bloomberg&amp;" Equity","INTERVAL_HIGH","MARKET_DATA_OVERRIDE=PX_LAST","START_DATE_OVERRIDE",TEXT(INDEX(MO_SNA_FPStartDate,0,COLUMN()),"YYYYMMDD"),"END_DATE_OVERRIDE",TEXT(INDEX(MO_Common_QEndDate,0,COLUMN()),"YYYYMMDD")),"N/A")</f>
        <v>N/A</v>
      </c>
      <c r="AH668" s="289" t="str">
        <f ca="1">IFERROR(_xll.BDP(MO.Ticker.Bloomberg&amp;" Equity","INTERVAL_HIGH","MARKET_DATA_OVERRIDE=PX_LAST","START_DATE_OVERRIDE",TEXT(INDEX(MO_SNA_FPStartDate,0,COLUMN()),"YYYYMMDD"),"END_DATE_OVERRIDE",TEXT(INDEX(MO_Common_QEndDate,0,COLUMN()),"YYYYMMDD")),"N/A")</f>
        <v>N/A</v>
      </c>
      <c r="AI668" s="289" t="str">
        <f ca="1">IFERROR(_xll.BDP(MO.Ticker.Bloomberg&amp;" Equity","INTERVAL_HIGH","MARKET_DATA_OVERRIDE=PX_LAST","START_DATE_OVERRIDE",TEXT(INDEX(MO_SNA_FPStartDate,0,COLUMN()),"YYYYMMDD"),"END_DATE_OVERRIDE",TEXT(INDEX(MO_Common_QEndDate,0,COLUMN()),"YYYYMMDD")),"N/A")</f>
        <v>N/A</v>
      </c>
      <c r="AJ668" s="289" t="str">
        <f ca="1">IFERROR(_xll.BDP(MO.Ticker.Bloomberg&amp;" Equity","INTERVAL_HIGH","MARKET_DATA_OVERRIDE=PX_LAST","START_DATE_OVERRIDE",TEXT(INDEX(MO_SNA_FPStartDate,0,COLUMN()),"YYYYMMDD"),"END_DATE_OVERRIDE",TEXT(INDEX(MO_Common_QEndDate,0,COLUMN()),"YYYYMMDD")),"N/A")</f>
        <v>N/A</v>
      </c>
      <c r="AK668" s="289" t="str">
        <f ca="1">IFERROR(_xll.BDP(MO.Ticker.Bloomberg&amp;" Equity","INTERVAL_HIGH","MARKET_DATA_OVERRIDE=PX_LAST","START_DATE_OVERRIDE",TEXT(INDEX(MO_SNA_FPStartDate,0,COLUMN()),"YYYYMMDD"),"END_DATE_OVERRIDE",TEXT(INDEX(MO_Common_QEndDate,0,COLUMN()),"YYYYMMDD")),"N/A")</f>
        <v>N/A</v>
      </c>
      <c r="AL668" s="289" t="str">
        <f ca="1">IFERROR(_xll.BDP(MO.Ticker.Bloomberg&amp;" Equity","INTERVAL_HIGH","MARKET_DATA_OVERRIDE=PX_LAST","START_DATE_OVERRIDE",TEXT(INDEX(MO_SNA_FPStartDate,0,COLUMN()),"YYYYMMDD"),"END_DATE_OVERRIDE",TEXT(INDEX(MO_Common_QEndDate,0,COLUMN()),"YYYYMMDD")),"N/A")</f>
        <v>N/A</v>
      </c>
      <c r="AM668" s="289" t="str">
        <f ca="1">IFERROR(_xll.BDP(MO.Ticker.Bloomberg&amp;" Equity","INTERVAL_HIGH","MARKET_DATA_OVERRIDE=PX_LAST","START_DATE_OVERRIDE",TEXT(INDEX(MO_SNA_FPStartDate,0,COLUMN()),"YYYYMMDD"),"END_DATE_OVERRIDE",TEXT(INDEX(MO_Common_QEndDate,0,COLUMN()),"YYYYMMDD")),"N/A")</f>
        <v>N/A</v>
      </c>
      <c r="AN668" s="289" t="str">
        <f ca="1">IFERROR(_xll.BDP(MO.Ticker.Bloomberg&amp;" Equity","INTERVAL_HIGH","MARKET_DATA_OVERRIDE=PX_LAST","START_DATE_OVERRIDE",TEXT(INDEX(MO_SNA_FPStartDate,0,COLUMN()),"YYYYMMDD"),"END_DATE_OVERRIDE",TEXT(INDEX(MO_Common_QEndDate,0,COLUMN()),"YYYYMMDD")),"N/A")</f>
        <v>N/A</v>
      </c>
      <c r="AO668" s="289" t="str">
        <f ca="1">IFERROR(_xll.BDP(MO.Ticker.Bloomberg&amp;" Equity","INTERVAL_HIGH","MARKET_DATA_OVERRIDE=PX_LAST","START_DATE_OVERRIDE",TEXT(INDEX(MO_SNA_FPStartDate,0,COLUMN()),"YYYYMMDD"),"END_DATE_OVERRIDE",TEXT(INDEX(MO_Common_QEndDate,0,COLUMN()),"YYYYMMDD")),"N/A")</f>
        <v>N/A</v>
      </c>
      <c r="AP668" s="289" t="str">
        <f ca="1">IFERROR(_xll.BDP(MO.Ticker.Bloomberg&amp;" Equity","INTERVAL_HIGH","MARKET_DATA_OVERRIDE=PX_LAST","START_DATE_OVERRIDE",TEXT(INDEX(MO_SNA_FPStartDate,0,COLUMN()),"YYYYMMDD"),"END_DATE_OVERRIDE",TEXT(INDEX(MO_Common_QEndDate,0,COLUMN()),"YYYYMMDD")),"N/A")</f>
        <v>N/A</v>
      </c>
      <c r="AQ668" s="289" t="str">
        <f ca="1">IFERROR(_xll.BDP(MO.Ticker.Bloomberg&amp;" Equity","INTERVAL_HIGH","MARKET_DATA_OVERRIDE=PX_LAST","START_DATE_OVERRIDE",TEXT(INDEX(MO_SNA_FPStartDate,0,COLUMN()),"YYYYMMDD"),"END_DATE_OVERRIDE",TEXT(INDEX(MO_Common_QEndDate,0,COLUMN()),"YYYYMMDD")),"N/A")</f>
        <v>N/A</v>
      </c>
      <c r="AR668" s="289" t="str">
        <f ca="1">IFERROR(_xll.BDP(MO.Ticker.Bloomberg&amp;" Equity","INTERVAL_HIGH","MARKET_DATA_OVERRIDE=PX_LAST","START_DATE_OVERRIDE",TEXT(INDEX(MO_SNA_FPStartDate,0,COLUMN()),"YYYYMMDD"),"END_DATE_OVERRIDE",TEXT(INDEX(MO_Common_QEndDate,0,COLUMN()),"YYYYMMDD")),"N/A")</f>
        <v>N/A</v>
      </c>
      <c r="AS668" s="289" t="str">
        <f ca="1">IFERROR(_xll.BDP(MO.Ticker.Bloomberg&amp;" Equity","INTERVAL_HIGH","MARKET_DATA_OVERRIDE=PX_LAST","START_DATE_OVERRIDE",TEXT(INDEX(MO_SNA_FPStartDate,0,COLUMN()),"YYYYMMDD"),"END_DATE_OVERRIDE",TEXT(INDEX(MO_Common_QEndDate,0,COLUMN()),"YYYYMMDD")),"N/A")</f>
        <v>N/A</v>
      </c>
      <c r="AT668" s="289" t="str">
        <f ca="1">IFERROR(_xll.BDP(MO.Ticker.Bloomberg&amp;" Equity","INTERVAL_HIGH","MARKET_DATA_OVERRIDE=PX_LAST","START_DATE_OVERRIDE",TEXT(INDEX(MO_SNA_FPStartDate,0,COLUMN()),"YYYYMMDD"),"END_DATE_OVERRIDE",TEXT(INDEX(MO_Common_QEndDate,0,COLUMN()),"YYYYMMDD")),"N/A")</f>
        <v>N/A</v>
      </c>
      <c r="AU668" s="289" t="str">
        <f ca="1">IFERROR(_xll.BDP(MO.Ticker.Bloomberg&amp;" Equity","INTERVAL_HIGH","MARKET_DATA_OVERRIDE=PX_LAST","START_DATE_OVERRIDE",TEXT(INDEX(MO_SNA_FPStartDate,0,COLUMN()),"YYYYMMDD"),"END_DATE_OVERRIDE",TEXT(INDEX(MO_Common_QEndDate,0,COLUMN()),"YYYYMMDD")),"N/A")</f>
        <v>N/A</v>
      </c>
      <c r="AV668" s="289" t="str">
        <f ca="1">IFERROR(_xll.BDP(MO.Ticker.Bloomberg&amp;" Equity","INTERVAL_HIGH","MARKET_DATA_OVERRIDE=PX_LAST","START_DATE_OVERRIDE",TEXT(INDEX(MO_SNA_FPStartDate,0,COLUMN()),"YYYYMMDD"),"END_DATE_OVERRIDE",TEXT(INDEX(MO_Common_QEndDate,0,COLUMN()),"YYYYMMDD")),"N/A")</f>
        <v>N/A</v>
      </c>
      <c r="AW668" s="289" t="str">
        <f ca="1">IFERROR(_xll.BDP(MO.Ticker.Bloomberg&amp;" Equity","INTERVAL_HIGH","MARKET_DATA_OVERRIDE=PX_LAST","START_DATE_OVERRIDE",TEXT(INDEX(MO_SNA_FPStartDate,0,COLUMN()),"YYYYMMDD"),"END_DATE_OVERRIDE",TEXT(INDEX(MO_Common_QEndDate,0,COLUMN()),"YYYYMMDD")),"N/A")</f>
        <v>N/A</v>
      </c>
      <c r="AX668" s="289" t="str">
        <f ca="1">IFERROR(_xll.BDP(MO.Ticker.Bloomberg&amp;" Equity","INTERVAL_HIGH","MARKET_DATA_OVERRIDE=PX_LAST","START_DATE_OVERRIDE",TEXT(INDEX(MO_SNA_FPStartDate,0,COLUMN()),"YYYYMMDD"),"END_DATE_OVERRIDE",TEXT(INDEX(MO_Common_QEndDate,0,COLUMN()),"YYYYMMDD")),"N/A")</f>
        <v>N/A</v>
      </c>
      <c r="AY668" s="289" t="str">
        <f ca="1">IFERROR(_xll.BDP(MO.Ticker.Bloomberg&amp;" Equity","INTERVAL_HIGH","MARKET_DATA_OVERRIDE=PX_LAST","START_DATE_OVERRIDE",TEXT(INDEX(MO_SNA_FPStartDate,0,COLUMN()),"YYYYMMDD"),"END_DATE_OVERRIDE",TEXT(INDEX(MO_Common_QEndDate,0,COLUMN()),"YYYYMMDD")),"N/A")</f>
        <v>N/A</v>
      </c>
      <c r="AZ668" s="289" t="str">
        <f ca="1">IFERROR(_xll.BDP(MO.Ticker.Bloomberg&amp;" Equity","INTERVAL_HIGH","MARKET_DATA_OVERRIDE=PX_LAST","START_DATE_OVERRIDE",TEXT(INDEX(MO_SNA_FPStartDate,0,COLUMN()),"YYYYMMDD"),"END_DATE_OVERRIDE",TEXT(INDEX(MO_Common_QEndDate,0,COLUMN()),"YYYYMMDD")),"N/A")</f>
        <v>N/A</v>
      </c>
      <c r="BA668" s="289" t="str">
        <f ca="1">IFERROR(_xll.BDP(MO.Ticker.Bloomberg&amp;" Equity","INTERVAL_HIGH","MARKET_DATA_OVERRIDE=PX_LAST","START_DATE_OVERRIDE",TEXT(INDEX(MO_SNA_FPStartDate,0,COLUMN()),"YYYYMMDD"),"END_DATE_OVERRIDE",TEXT(INDEX(MO_Common_QEndDate,0,COLUMN()),"YYYYMMDD")),"N/A")</f>
        <v>N/A</v>
      </c>
      <c r="BB668" s="289" t="str">
        <f ca="1">IFERROR(_xll.BDP(MO.Ticker.Bloomberg&amp;" Equity","INTERVAL_HIGH","MARKET_DATA_OVERRIDE=PX_LAST","START_DATE_OVERRIDE",TEXT(INDEX(MO_SNA_FPStartDate,0,COLUMN()),"YYYYMMDD"),"END_DATE_OVERRIDE",TEXT(INDEX(MO_Common_QEndDate,0,COLUMN()),"YYYYMMDD")),"N/A")</f>
        <v>N/A</v>
      </c>
      <c r="BC668" s="289" t="str">
        <f ca="1">IFERROR(_xll.BDP(MO.Ticker.Bloomberg&amp;" Equity","INTERVAL_HIGH","MARKET_DATA_OVERRIDE=PX_LAST","START_DATE_OVERRIDE",TEXT(INDEX(MO_SNA_FPStartDate,0,COLUMN()),"YYYYMMDD"),"END_DATE_OVERRIDE",TEXT(INDEX(MO_Common_QEndDate,0,COLUMN()),"YYYYMMDD")),"N/A")</f>
        <v>N/A</v>
      </c>
      <c r="BD668" s="289" t="str">
        <f ca="1">IFERROR(_xll.BDP(MO.Ticker.Bloomberg&amp;" Equity","INTERVAL_HIGH","MARKET_DATA_OVERRIDE=PX_LAST","START_DATE_OVERRIDE",TEXT(INDEX(MO_SNA_FPStartDate,0,COLUMN()),"YYYYMMDD"),"END_DATE_OVERRIDE",TEXT(INDEX(MO_Common_QEndDate,0,COLUMN()),"YYYYMMDD")),"N/A")</f>
        <v>N/A</v>
      </c>
      <c r="BE668" s="289" t="str">
        <f ca="1">IFERROR(_xll.BDP(MO.Ticker.Bloomberg&amp;" Equity","INTERVAL_HIGH","MARKET_DATA_OVERRIDE=PX_LAST","START_DATE_OVERRIDE",TEXT(INDEX(MO_SNA_FPStartDate,0,COLUMN()),"YYYYMMDD"),"END_DATE_OVERRIDE",TEXT(INDEX(MO_Common_QEndDate,0,COLUMN()),"YYYYMMDD")),"N/A")</f>
        <v>N/A</v>
      </c>
      <c r="BF668" s="289" t="str">
        <f ca="1">IFERROR(_xll.BDP(MO.Ticker.Bloomberg&amp;" Equity","INTERVAL_HIGH","MARKET_DATA_OVERRIDE=PX_LAST","START_DATE_OVERRIDE",TEXT(INDEX(MO_SNA_FPStartDate,0,COLUMN()),"YYYYMMDD"),"END_DATE_OVERRIDE",TEXT(INDEX(MO_Common_QEndDate,0,COLUMN()),"YYYYMMDD")),"N/A")</f>
        <v>N/A</v>
      </c>
      <c r="BG668" s="289" t="str">
        <f ca="1">IFERROR(_xll.BDP(MO.Ticker.Bloomberg&amp;" Equity","INTERVAL_HIGH","MARKET_DATA_OVERRIDE=PX_LAST","START_DATE_OVERRIDE",TEXT(INDEX(MO_SNA_FPStartDate,0,COLUMN()),"YYYYMMDD"),"END_DATE_OVERRIDE",TEXT(INDEX(MO_Common_QEndDate,0,COLUMN()),"YYYYMMDD")),"N/A")</f>
        <v>N/A</v>
      </c>
      <c r="BH668" s="266" t="str">
        <f ca="1">IFERROR(_xll.BDP(MO.Ticker.Bloomberg&amp;" Equity","INTERVAL_HIGH","MARKET_DATA_OVERRIDE=PX_LAST","START_DATE_OVERRIDE",TEXT(INDEX(MO_SNA_FPStartDate,0,COLUMN()),"YYYYMMDD"),"END_DATE_OVERRIDE",TEXT(INDEX(MO_Common_QEndDate,0,COLUMN()),"YYYYMMDD")),"N/A")</f>
        <v>N/A</v>
      </c>
      <c r="BI668" s="257" t="str">
        <f ca="1">IFERROR(_xll.BDP(MO.Ticker.Bloomberg&amp;" Equity","INTERVAL_HIGH","MARKET_DATA_OVERRIDE=PX_LAST","START_DATE_OVERRIDE",TEXT(INDEX(MO_SNA_FPStartDate,0,COLUMN()),"YYYYMMDD"),"END_DATE_OVERRIDE",TEXT(INDEX(MO_Common_QEndDate,0,COLUMN()),"YYYYMMDD")),"N/A")</f>
        <v>N/A</v>
      </c>
      <c r="BJ668" s="257" t="str">
        <f ca="1">IFERROR(_xll.BDP(MO.Ticker.Bloomberg&amp;" Equity","INTERVAL_HIGH","MARKET_DATA_OVERRIDE=PX_LAST","START_DATE_OVERRIDE",TEXT(INDEX(MO_SNA_FPStartDate,0,COLUMN()),"YYYYMMDD"),"END_DATE_OVERRIDE",TEXT(INDEX(MO_Common_QEndDate,0,COLUMN()),"YYYYMMDD")),"N/A")</f>
        <v>N/A</v>
      </c>
      <c r="BK668" s="257" t="str">
        <f ca="1">IFERROR(_xll.BDP(MO.Ticker.Bloomberg&amp;" Equity","INTERVAL_HIGH","MARKET_DATA_OVERRIDE=PX_LAST","START_DATE_OVERRIDE",TEXT(INDEX(MO_SNA_FPStartDate,0,COLUMN()),"YYYYMMDD"),"END_DATE_OVERRIDE",TEXT(INDEX(MO_Common_QEndDate,0,COLUMN()),"YYYYMMDD")),"N/A")</f>
        <v>N/A</v>
      </c>
      <c r="BL668" s="257" t="str">
        <f ca="1">IFERROR(_xll.BDP(MO.Ticker.Bloomberg&amp;" Equity","INTERVAL_HIGH","MARKET_DATA_OVERRIDE=PX_LAST","START_DATE_OVERRIDE",TEXT(INDEX(MO_SNA_FPStartDate,0,COLUMN()),"YYYYMMDD"),"END_DATE_OVERRIDE",TEXT(INDEX(MO_Common_QEndDate,0,COLUMN()),"YYYYMMDD")),"N/A")</f>
        <v>N/A</v>
      </c>
      <c r="BM668" s="257" t="str">
        <f ca="1">IFERROR(_xll.BDP(MO.Ticker.Bloomberg&amp;" Equity","INTERVAL_HIGH","MARKET_DATA_OVERRIDE=PX_LAST","START_DATE_OVERRIDE",TEXT(INDEX(MO_SNA_FPStartDate,0,COLUMN()),"YYYYMMDD"),"END_DATE_OVERRIDE",TEXT(INDEX(MO_Common_QEndDate,0,COLUMN()),"YYYYMMDD")),"N/A")</f>
        <v>N/A</v>
      </c>
      <c r="BN668" s="257" t="str">
        <f ca="1">IFERROR(_xll.BDP(MO.Ticker.Bloomberg&amp;" Equity","INTERVAL_HIGH","MARKET_DATA_OVERRIDE=PX_LAST","START_DATE_OVERRIDE",TEXT(INDEX(MO_SNA_FPStartDate,0,COLUMN()),"YYYYMMDD"),"END_DATE_OVERRIDE",TEXT(INDEX(MO_Common_QEndDate,0,COLUMN()),"YYYYMMDD")),"N/A")</f>
        <v>N/A</v>
      </c>
      <c r="BO668" s="257" t="str">
        <f ca="1">IFERROR(_xll.BDP(MO.Ticker.Bloomberg&amp;" Equity","INTERVAL_HIGH","MARKET_DATA_OVERRIDE=PX_LAST","START_DATE_OVERRIDE",TEXT(INDEX(MO_SNA_FPStartDate,0,COLUMN()),"YYYYMMDD"),"END_DATE_OVERRIDE",TEXT(INDEX(MO_Common_QEndDate,0,COLUMN()),"YYYYMMDD")),"N/A")</f>
        <v>N/A</v>
      </c>
      <c r="BP668" s="289" t="str">
        <f ca="1">IFERROR(_xll.BDP(MO.Ticker.Bloomberg&amp;" Equity","INTERVAL_HIGH","MARKET_DATA_OVERRIDE=PX_LAST","START_DATE_OVERRIDE",TEXT(INDEX(MO_SNA_FPStartDate,0,COLUMN()),"YYYYMMDD"),"END_DATE_OVERRIDE",TEXT(INDEX(MO_Common_QEndDate,0,COLUMN()),"YYYYMMDD")),"N/A")</f>
        <v>N/A</v>
      </c>
      <c r="BQ668" s="289" t="str">
        <f ca="1">IFERROR(_xll.BDP(MO.Ticker.Bloomberg&amp;" Equity","INTERVAL_HIGH","MARKET_DATA_OVERRIDE=PX_LAST","START_DATE_OVERRIDE",TEXT(INDEX(MO_SNA_FPStartDate,0,COLUMN()),"YYYYMMDD"),"END_DATE_OVERRIDE",TEXT(INDEX(MO_Common_QEndDate,0,COLUMN()),"YYYYMMDD")),"N/A")</f>
        <v>N/A</v>
      </c>
      <c r="BR668" s="258" t="str">
        <f ca="1">IFERROR(_xll.BDP(MO.Ticker.Bloomberg&amp;" Equity","INTERVAL_HIGH","MARKET_DATA_OVERRIDE=PX_LAST","START_DATE_OVERRIDE",TEXT(INDEX(MO_SNA_FPStartDate,0,COLUMN()),"YYYYMMDD"),"END_DATE_OVERRIDE",TEXT(INDEX(MO_Common_QEndDate,0,COLUMN()),"YYYYMMDD")),"N/A")</f>
        <v>N/A</v>
      </c>
      <c r="BS668" s="371"/>
    </row>
    <row r="669" spans="1:71" s="690" customFormat="1" ht="15" hidden="1" outlineLevel="1">
      <c r="A669" s="259" t="s">
        <v>396</v>
      </c>
      <c r="B669" s="257"/>
      <c r="C669" s="436" t="str">
        <f ca="1">IFERROR(_xll.CIQHI(MO.Ticker.CapIQ,"IQ_LASTSALEPRICE",INDEX(MO_SNA_FPStartDate,0,COLUMN()),INDEX(MO_Common_QEndDate,0,COLUMN())),"N/A")</f>
        <v>N/A</v>
      </c>
      <c r="D669" s="436" t="str">
        <f ca="1">IFERROR(_xll.CIQHI(MO.Ticker.CapIQ,"IQ_LASTSALEPRICE",INDEX(MO_SNA_FPStartDate,0,COLUMN()),INDEX(MO_Common_QEndDate,0,COLUMN())),"N/A")</f>
        <v>N/A</v>
      </c>
      <c r="E669" s="289" t="str">
        <f ca="1">IFERROR(_xll.CIQHI(MO.Ticker.CapIQ,"IQ_LASTSALEPRICE",INDEX(MO_SNA_FPStartDate,0,COLUMN()),INDEX(MO_Common_QEndDate,0,COLUMN())),"N/A")</f>
        <v>N/A</v>
      </c>
      <c r="F669" s="289" t="str">
        <f ca="1">IFERROR(_xll.CIQHI(MO.Ticker.CapIQ,"IQ_LASTSALEPRICE",INDEX(MO_SNA_FPStartDate,0,COLUMN()),INDEX(MO_Common_QEndDate,0,COLUMN())),"N/A")</f>
        <v>N/A</v>
      </c>
      <c r="G669" s="289" t="str">
        <f ca="1">IFERROR(_xll.CIQHI(MO.Ticker.CapIQ,"IQ_LASTSALEPRICE",INDEX(MO_SNA_FPStartDate,0,COLUMN()),INDEX(MO_Common_QEndDate,0,COLUMN())),"N/A")</f>
        <v>N/A</v>
      </c>
      <c r="H669" s="289" t="str">
        <f ca="1">IFERROR(_xll.CIQHI(MO.Ticker.CapIQ,"IQ_LASTSALEPRICE",INDEX(MO_SNA_FPStartDate,0,COLUMN()),INDEX(MO_Common_QEndDate,0,COLUMN())),"N/A")</f>
        <v>N/A</v>
      </c>
      <c r="I669" s="289" t="str">
        <f ca="1">IFERROR(_xll.CIQHI(MO.Ticker.CapIQ,"IQ_LASTSALEPRICE",INDEX(MO_SNA_FPStartDate,0,COLUMN()),INDEX(MO_Common_QEndDate,0,COLUMN())),"N/A")</f>
        <v>N/A</v>
      </c>
      <c r="J669" s="289" t="str">
        <f ca="1">IFERROR(_xll.CIQHI(MO.Ticker.CapIQ,"IQ_LASTSALEPRICE",INDEX(MO_SNA_FPStartDate,0,COLUMN()),INDEX(MO_Common_QEndDate,0,COLUMN())),"N/A")</f>
        <v>N/A</v>
      </c>
      <c r="K669" s="289" t="str">
        <f ca="1">IFERROR(_xll.CIQHI(MO.Ticker.CapIQ,"IQ_LASTSALEPRICE",INDEX(MO_SNA_FPStartDate,0,COLUMN()),INDEX(MO_Common_QEndDate,0,COLUMN())),"N/A")</f>
        <v>N/A</v>
      </c>
      <c r="L669" s="289" t="str">
        <f ca="1">IFERROR(_xll.CIQHI(MO.Ticker.CapIQ,"IQ_LASTSALEPRICE",INDEX(MO_SNA_FPStartDate,0,COLUMN()),INDEX(MO_Common_QEndDate,0,COLUMN())),"N/A")</f>
        <v>N/A</v>
      </c>
      <c r="M669" s="289" t="str">
        <f ca="1">IFERROR(_xll.CIQHI(MO.Ticker.CapIQ,"IQ_LASTSALEPRICE",INDEX(MO_SNA_FPStartDate,0,COLUMN()),INDEX(MO_Common_QEndDate,0,COLUMN())),"N/A")</f>
        <v>N/A</v>
      </c>
      <c r="N669" s="289" t="str">
        <f ca="1">IFERROR(_xll.CIQHI(MO.Ticker.CapIQ,"IQ_LASTSALEPRICE",INDEX(MO_SNA_FPStartDate,0,COLUMN()),INDEX(MO_Common_QEndDate,0,COLUMN())),"N/A")</f>
        <v>N/A</v>
      </c>
      <c r="O669" s="289" t="str">
        <f ca="1">IFERROR(_xll.CIQHI(MO.Ticker.CapIQ,"IQ_LASTSALEPRICE",INDEX(MO_SNA_FPStartDate,0,COLUMN()),INDEX(MO_Common_QEndDate,0,COLUMN())),"N/A")</f>
        <v>N/A</v>
      </c>
      <c r="P669" s="289" t="str">
        <f ca="1">IFERROR(_xll.CIQHI(MO.Ticker.CapIQ,"IQ_LASTSALEPRICE",INDEX(MO_SNA_FPStartDate,0,COLUMN()),INDEX(MO_Common_QEndDate,0,COLUMN())),"N/A")</f>
        <v>N/A</v>
      </c>
      <c r="Q669" s="289" t="str">
        <f ca="1">IFERROR(_xll.CIQHI(MO.Ticker.CapIQ,"IQ_LASTSALEPRICE",INDEX(MO_SNA_FPStartDate,0,COLUMN()),INDEX(MO_Common_QEndDate,0,COLUMN())),"N/A")</f>
        <v>N/A</v>
      </c>
      <c r="R669" s="289" t="str">
        <f ca="1">IFERROR(_xll.CIQHI(MO.Ticker.CapIQ,"IQ_LASTSALEPRICE",INDEX(MO_SNA_FPStartDate,0,COLUMN()),INDEX(MO_Common_QEndDate,0,COLUMN())),"N/A")</f>
        <v>N/A</v>
      </c>
      <c r="S669" s="289" t="str">
        <f ca="1">IFERROR(_xll.CIQHI(MO.Ticker.CapIQ,"IQ_LASTSALEPRICE",INDEX(MO_SNA_FPStartDate,0,COLUMN()),INDEX(MO_Common_QEndDate,0,COLUMN())),"N/A")</f>
        <v>N/A</v>
      </c>
      <c r="T669" s="289" t="str">
        <f ca="1">IFERROR(_xll.CIQHI(MO.Ticker.CapIQ,"IQ_LASTSALEPRICE",INDEX(MO_SNA_FPStartDate,0,COLUMN()),INDEX(MO_Common_QEndDate,0,COLUMN())),"N/A")</f>
        <v>N/A</v>
      </c>
      <c r="U669" s="289" t="str">
        <f ca="1">IFERROR(_xll.CIQHI(MO.Ticker.CapIQ,"IQ_LASTSALEPRICE",INDEX(MO_SNA_FPStartDate,0,COLUMN()),INDEX(MO_Common_QEndDate,0,COLUMN())),"N/A")</f>
        <v>N/A</v>
      </c>
      <c r="V669" s="289" t="str">
        <f ca="1">IFERROR(_xll.CIQHI(MO.Ticker.CapIQ,"IQ_LASTSALEPRICE",INDEX(MO_SNA_FPStartDate,0,COLUMN()),INDEX(MO_Common_QEndDate,0,COLUMN())),"N/A")</f>
        <v>N/A</v>
      </c>
      <c r="W669" s="289" t="str">
        <f ca="1">IFERROR(_xll.CIQHI(MO.Ticker.CapIQ,"IQ_LASTSALEPRICE",INDEX(MO_SNA_FPStartDate,0,COLUMN()),INDEX(MO_Common_QEndDate,0,COLUMN())),"N/A")</f>
        <v>N/A</v>
      </c>
      <c r="X669" s="289" t="str">
        <f ca="1">IFERROR(_xll.CIQHI(MO.Ticker.CapIQ,"IQ_LASTSALEPRICE",INDEX(MO_SNA_FPStartDate,0,COLUMN()),INDEX(MO_Common_QEndDate,0,COLUMN())),"N/A")</f>
        <v>N/A</v>
      </c>
      <c r="Y669" s="289" t="str">
        <f ca="1">IFERROR(_xll.CIQHI(MO.Ticker.CapIQ,"IQ_LASTSALEPRICE",INDEX(MO_SNA_FPStartDate,0,COLUMN()),INDEX(MO_Common_QEndDate,0,COLUMN())),"N/A")</f>
        <v>N/A</v>
      </c>
      <c r="Z669" s="289" t="str">
        <f ca="1">IFERROR(_xll.CIQHI(MO.Ticker.CapIQ,"IQ_LASTSALEPRICE",INDEX(MO_SNA_FPStartDate,0,COLUMN()),INDEX(MO_Common_QEndDate,0,COLUMN())),"N/A")</f>
        <v>N/A</v>
      </c>
      <c r="AA669" s="289" t="str">
        <f ca="1">IFERROR(_xll.CIQHI(MO.Ticker.CapIQ,"IQ_LASTSALEPRICE",INDEX(MO_SNA_FPStartDate,0,COLUMN()),INDEX(MO_Common_QEndDate,0,COLUMN())),"N/A")</f>
        <v>N/A</v>
      </c>
      <c r="AB669" s="289" t="str">
        <f ca="1">IFERROR(_xll.CIQHI(MO.Ticker.CapIQ,"IQ_LASTSALEPRICE",INDEX(MO_SNA_FPStartDate,0,COLUMN()),INDEX(MO_Common_QEndDate,0,COLUMN())),"N/A")</f>
        <v>N/A</v>
      </c>
      <c r="AC669" s="289" t="str">
        <f ca="1">IFERROR(_xll.CIQHI(MO.Ticker.CapIQ,"IQ_LASTSALEPRICE",INDEX(MO_SNA_FPStartDate,0,COLUMN()),INDEX(MO_Common_QEndDate,0,COLUMN())),"N/A")</f>
        <v>N/A</v>
      </c>
      <c r="AD669" s="289" t="str">
        <f ca="1">IFERROR(_xll.CIQHI(MO.Ticker.CapIQ,"IQ_LASTSALEPRICE",INDEX(MO_SNA_FPStartDate,0,COLUMN()),INDEX(MO_Common_QEndDate,0,COLUMN())),"N/A")</f>
        <v>N/A</v>
      </c>
      <c r="AE669" s="289" t="str">
        <f ca="1">IFERROR(_xll.CIQHI(MO.Ticker.CapIQ,"IQ_LASTSALEPRICE",INDEX(MO_SNA_FPStartDate,0,COLUMN()),INDEX(MO_Common_QEndDate,0,COLUMN())),"N/A")</f>
        <v>N/A</v>
      </c>
      <c r="AF669" s="289" t="str">
        <f ca="1">IFERROR(_xll.CIQHI(MO.Ticker.CapIQ,"IQ_LASTSALEPRICE",INDEX(MO_SNA_FPStartDate,0,COLUMN()),INDEX(MO_Common_QEndDate,0,COLUMN())),"N/A")</f>
        <v>N/A</v>
      </c>
      <c r="AG669" s="289" t="str">
        <f ca="1">IFERROR(_xll.CIQHI(MO.Ticker.CapIQ,"IQ_LASTSALEPRICE",INDEX(MO_SNA_FPStartDate,0,COLUMN()),INDEX(MO_Common_QEndDate,0,COLUMN())),"N/A")</f>
        <v>N/A</v>
      </c>
      <c r="AH669" s="289" t="str">
        <f ca="1">IFERROR(_xll.CIQHI(MO.Ticker.CapIQ,"IQ_LASTSALEPRICE",INDEX(MO_SNA_FPStartDate,0,COLUMN()),INDEX(MO_Common_QEndDate,0,COLUMN())),"N/A")</f>
        <v>N/A</v>
      </c>
      <c r="AI669" s="289" t="str">
        <f ca="1">IFERROR(_xll.CIQHI(MO.Ticker.CapIQ,"IQ_LASTSALEPRICE",INDEX(MO_SNA_FPStartDate,0,COLUMN()),INDEX(MO_Common_QEndDate,0,COLUMN())),"N/A")</f>
        <v>N/A</v>
      </c>
      <c r="AJ669" s="289" t="str">
        <f ca="1">IFERROR(_xll.CIQHI(MO.Ticker.CapIQ,"IQ_LASTSALEPRICE",INDEX(MO_SNA_FPStartDate,0,COLUMN()),INDEX(MO_Common_QEndDate,0,COLUMN())),"N/A")</f>
        <v>N/A</v>
      </c>
      <c r="AK669" s="289" t="str">
        <f ca="1">IFERROR(_xll.CIQHI(MO.Ticker.CapIQ,"IQ_LASTSALEPRICE",INDEX(MO_SNA_FPStartDate,0,COLUMN()),INDEX(MO_Common_QEndDate,0,COLUMN())),"N/A")</f>
        <v>N/A</v>
      </c>
      <c r="AL669" s="289" t="str">
        <f ca="1">IFERROR(_xll.CIQHI(MO.Ticker.CapIQ,"IQ_LASTSALEPRICE",INDEX(MO_SNA_FPStartDate,0,COLUMN()),INDEX(MO_Common_QEndDate,0,COLUMN())),"N/A")</f>
        <v>N/A</v>
      </c>
      <c r="AM669" s="289" t="str">
        <f ca="1">IFERROR(_xll.CIQHI(MO.Ticker.CapIQ,"IQ_LASTSALEPRICE",INDEX(MO_SNA_FPStartDate,0,COLUMN()),INDEX(MO_Common_QEndDate,0,COLUMN())),"N/A")</f>
        <v>N/A</v>
      </c>
      <c r="AN669" s="289" t="str">
        <f ca="1">IFERROR(_xll.CIQHI(MO.Ticker.CapIQ,"IQ_LASTSALEPRICE",INDEX(MO_SNA_FPStartDate,0,COLUMN()),INDEX(MO_Common_QEndDate,0,COLUMN())),"N/A")</f>
        <v>N/A</v>
      </c>
      <c r="AO669" s="289" t="str">
        <f ca="1">IFERROR(_xll.CIQHI(MO.Ticker.CapIQ,"IQ_LASTSALEPRICE",INDEX(MO_SNA_FPStartDate,0,COLUMN()),INDEX(MO_Common_QEndDate,0,COLUMN())),"N/A")</f>
        <v>N/A</v>
      </c>
      <c r="AP669" s="289" t="str">
        <f ca="1">IFERROR(_xll.CIQHI(MO.Ticker.CapIQ,"IQ_LASTSALEPRICE",INDEX(MO_SNA_FPStartDate,0,COLUMN()),INDEX(MO_Common_QEndDate,0,COLUMN())),"N/A")</f>
        <v>N/A</v>
      </c>
      <c r="AQ669" s="289" t="str">
        <f ca="1">IFERROR(_xll.CIQHI(MO.Ticker.CapIQ,"IQ_LASTSALEPRICE",INDEX(MO_SNA_FPStartDate,0,COLUMN()),INDEX(MO_Common_QEndDate,0,COLUMN())),"N/A")</f>
        <v>N/A</v>
      </c>
      <c r="AR669" s="289" t="str">
        <f ca="1">IFERROR(_xll.CIQHI(MO.Ticker.CapIQ,"IQ_LASTSALEPRICE",INDEX(MO_SNA_FPStartDate,0,COLUMN()),INDEX(MO_Common_QEndDate,0,COLUMN())),"N/A")</f>
        <v>N/A</v>
      </c>
      <c r="AS669" s="289" t="str">
        <f ca="1">IFERROR(_xll.CIQHI(MO.Ticker.CapIQ,"IQ_LASTSALEPRICE",INDEX(MO_SNA_FPStartDate,0,COLUMN()),INDEX(MO_Common_QEndDate,0,COLUMN())),"N/A")</f>
        <v>N/A</v>
      </c>
      <c r="AT669" s="289" t="str">
        <f ca="1">IFERROR(_xll.CIQHI(MO.Ticker.CapIQ,"IQ_LASTSALEPRICE",INDEX(MO_SNA_FPStartDate,0,COLUMN()),INDEX(MO_Common_QEndDate,0,COLUMN())),"N/A")</f>
        <v>N/A</v>
      </c>
      <c r="AU669" s="289" t="str">
        <f ca="1">IFERROR(_xll.CIQHI(MO.Ticker.CapIQ,"IQ_LASTSALEPRICE",INDEX(MO_SNA_FPStartDate,0,COLUMN()),INDEX(MO_Common_QEndDate,0,COLUMN())),"N/A")</f>
        <v>N/A</v>
      </c>
      <c r="AV669" s="289" t="str">
        <f ca="1">IFERROR(_xll.CIQHI(MO.Ticker.CapIQ,"IQ_LASTSALEPRICE",INDEX(MO_SNA_FPStartDate,0,COLUMN()),INDEX(MO_Common_QEndDate,0,COLUMN())),"N/A")</f>
        <v>N/A</v>
      </c>
      <c r="AW669" s="289" t="str">
        <f ca="1">IFERROR(_xll.CIQHI(MO.Ticker.CapIQ,"IQ_LASTSALEPRICE",INDEX(MO_SNA_FPStartDate,0,COLUMN()),INDEX(MO_Common_QEndDate,0,COLUMN())),"N/A")</f>
        <v>N/A</v>
      </c>
      <c r="AX669" s="289" t="str">
        <f ca="1">IFERROR(_xll.CIQHI(MO.Ticker.CapIQ,"IQ_LASTSALEPRICE",INDEX(MO_SNA_FPStartDate,0,COLUMN()),INDEX(MO_Common_QEndDate,0,COLUMN())),"N/A")</f>
        <v>N/A</v>
      </c>
      <c r="AY669" s="289" t="str">
        <f ca="1">IFERROR(_xll.CIQHI(MO.Ticker.CapIQ,"IQ_LASTSALEPRICE",INDEX(MO_SNA_FPStartDate,0,COLUMN()),INDEX(MO_Common_QEndDate,0,COLUMN())),"N/A")</f>
        <v>N/A</v>
      </c>
      <c r="AZ669" s="289" t="str">
        <f ca="1">IFERROR(_xll.CIQHI(MO.Ticker.CapIQ,"IQ_LASTSALEPRICE",INDEX(MO_SNA_FPStartDate,0,COLUMN()),INDEX(MO_Common_QEndDate,0,COLUMN())),"N/A")</f>
        <v>N/A</v>
      </c>
      <c r="BA669" s="289" t="str">
        <f ca="1">IFERROR(_xll.CIQHI(MO.Ticker.CapIQ,"IQ_LASTSALEPRICE",INDEX(MO_SNA_FPStartDate,0,COLUMN()),INDEX(MO_Common_QEndDate,0,COLUMN())),"N/A")</f>
        <v>N/A</v>
      </c>
      <c r="BB669" s="289" t="str">
        <f ca="1">IFERROR(_xll.CIQHI(MO.Ticker.CapIQ,"IQ_LASTSALEPRICE",INDEX(MO_SNA_FPStartDate,0,COLUMN()),INDEX(MO_Common_QEndDate,0,COLUMN())),"N/A")</f>
        <v>N/A</v>
      </c>
      <c r="BC669" s="289" t="str">
        <f ca="1">IFERROR(_xll.CIQHI(MO.Ticker.CapIQ,"IQ_LASTSALEPRICE",INDEX(MO_SNA_FPStartDate,0,COLUMN()),INDEX(MO_Common_QEndDate,0,COLUMN())),"N/A")</f>
        <v>N/A</v>
      </c>
      <c r="BD669" s="289" t="str">
        <f ca="1">IFERROR(_xll.CIQHI(MO.Ticker.CapIQ,"IQ_LASTSALEPRICE",INDEX(MO_SNA_FPStartDate,0,COLUMN()),INDEX(MO_Common_QEndDate,0,COLUMN())),"N/A")</f>
        <v>N/A</v>
      </c>
      <c r="BE669" s="289" t="str">
        <f ca="1">IFERROR(_xll.CIQHI(MO.Ticker.CapIQ,"IQ_LASTSALEPRICE",INDEX(MO_SNA_FPStartDate,0,COLUMN()),INDEX(MO_Common_QEndDate,0,COLUMN())),"N/A")</f>
        <v>N/A</v>
      </c>
      <c r="BF669" s="289" t="str">
        <f ca="1">IFERROR(_xll.CIQHI(MO.Ticker.CapIQ,"IQ_LASTSALEPRICE",INDEX(MO_SNA_FPStartDate,0,COLUMN()),INDEX(MO_Common_QEndDate,0,COLUMN())),"N/A")</f>
        <v>N/A</v>
      </c>
      <c r="BG669" s="289" t="str">
        <f ca="1">IFERROR(_xll.CIQHI(MO.Ticker.CapIQ,"IQ_LASTSALEPRICE",INDEX(MO_SNA_FPStartDate,0,COLUMN()),INDEX(MO_Common_QEndDate,0,COLUMN())),"N/A")</f>
        <v>N/A</v>
      </c>
      <c r="BH669" s="266" t="str">
        <f ca="1">IFERROR(_xll.CIQHI(MO.Ticker.CapIQ,"IQ_LASTSALEPRICE",INDEX(MO_SNA_FPStartDate,0,COLUMN()),INDEX(MO_Common_QEndDate,0,COLUMN())),"N/A")</f>
        <v>N/A</v>
      </c>
      <c r="BI669" s="257" t="str">
        <f ca="1">IFERROR(_xll.CIQHI(MO.Ticker.CapIQ,"IQ_LASTSALEPRICE",INDEX(MO_SNA_FPStartDate,0,COLUMN()),INDEX(MO_Common_QEndDate,0,COLUMN())),"N/A")</f>
        <v>N/A</v>
      </c>
      <c r="BJ669" s="257" t="str">
        <f ca="1">IFERROR(_xll.CIQHI(MO.Ticker.CapIQ,"IQ_LASTSALEPRICE",INDEX(MO_SNA_FPStartDate,0,COLUMN()),INDEX(MO_Common_QEndDate,0,COLUMN())),"N/A")</f>
        <v>N/A</v>
      </c>
      <c r="BK669" s="257" t="str">
        <f ca="1">IFERROR(_xll.CIQHI(MO.Ticker.CapIQ,"IQ_LASTSALEPRICE",INDEX(MO_SNA_FPStartDate,0,COLUMN()),INDEX(MO_Common_QEndDate,0,COLUMN())),"N/A")</f>
        <v>N/A</v>
      </c>
      <c r="BL669" s="257" t="str">
        <f ca="1">IFERROR(_xll.CIQHI(MO.Ticker.CapIQ,"IQ_LASTSALEPRICE",INDEX(MO_SNA_FPStartDate,0,COLUMN()),INDEX(MO_Common_QEndDate,0,COLUMN())),"N/A")</f>
        <v>N/A</v>
      </c>
      <c r="BM669" s="257" t="str">
        <f ca="1">IFERROR(_xll.CIQHI(MO.Ticker.CapIQ,"IQ_LASTSALEPRICE",INDEX(MO_SNA_FPStartDate,0,COLUMN()),INDEX(MO_Common_QEndDate,0,COLUMN())),"N/A")</f>
        <v>N/A</v>
      </c>
      <c r="BN669" s="257" t="str">
        <f ca="1">IFERROR(_xll.CIQHI(MO.Ticker.CapIQ,"IQ_LASTSALEPRICE",INDEX(MO_SNA_FPStartDate,0,COLUMN()),INDEX(MO_Common_QEndDate,0,COLUMN())),"N/A")</f>
        <v>N/A</v>
      </c>
      <c r="BO669" s="257" t="str">
        <f ca="1">IFERROR(_xll.CIQHI(MO.Ticker.CapIQ,"IQ_LASTSALEPRICE",INDEX(MO_SNA_FPStartDate,0,COLUMN()),INDEX(MO_Common_QEndDate,0,COLUMN())),"N/A")</f>
        <v>N/A</v>
      </c>
      <c r="BP669" s="289" t="str">
        <f ca="1">IFERROR(_xll.CIQHI(MO.Ticker.CapIQ,"IQ_LASTSALEPRICE",INDEX(MO_SNA_FPStartDate,0,COLUMN()),INDEX(MO_Common_QEndDate,0,COLUMN())),"N/A")</f>
        <v>N/A</v>
      </c>
      <c r="BQ669" s="289" t="str">
        <f ca="1">IFERROR(_xll.CIQHI(MO.Ticker.CapIQ,"IQ_LASTSALEPRICE",INDEX(MO_SNA_FPStartDate,0,COLUMN()),INDEX(MO_Common_QEndDate,0,COLUMN())),"N/A")</f>
        <v>N/A</v>
      </c>
      <c r="BR669" s="258" t="str">
        <f ca="1">IFERROR(_xll.CIQHI(MO.Ticker.CapIQ,"IQ_LASTSALEPRICE",INDEX(MO_SNA_FPStartDate,0,COLUMN()),INDEX(MO_Common_QEndDate,0,COLUMN())),"N/A")</f>
        <v>N/A</v>
      </c>
      <c r="BS669" s="371"/>
    </row>
    <row r="670" spans="1:71" s="690" customFormat="1" ht="15" hidden="1" outlineLevel="1">
      <c r="A670" s="259" t="s">
        <v>397</v>
      </c>
      <c r="B670" s="257"/>
      <c r="C670" s="436" t="str">
        <f ca="1">IFERROR(_xll.FDS(MO.Ticker.FactSet,"P_PRICE_HIGH"&amp;"("&amp;INDEX(MO_SNA_FPStartDate,0,COLUMN())&amp;","&amp;INDEX(MO_Common_QEndDate,0,COLUMN())&amp;",,,,""PRICE"",""CLOSE"")"),"N/A")</f>
        <v>N/A</v>
      </c>
      <c r="D670" s="436" t="str">
        <f ca="1">IFERROR(_xll.FDS(MO.Ticker.FactSet,"P_PRICE_HIGH"&amp;"("&amp;INDEX(MO_SNA_FPStartDate,0,COLUMN())&amp;","&amp;INDEX(MO_Common_QEndDate,0,COLUMN())&amp;",,,,""PRICE"",""CLOSE"")"),"N/A")</f>
        <v>N/A</v>
      </c>
      <c r="E670" s="289" t="str">
        <f ca="1">IFERROR(_xll.FDS(MO.Ticker.FactSet,"P_PRICE_HIGH"&amp;"("&amp;INDEX(MO_SNA_FPStartDate,0,COLUMN())&amp;","&amp;INDEX(MO_Common_QEndDate,0,COLUMN())&amp;",,,,""PRICE"",""CLOSE"")"),"N/A")</f>
        <v>N/A</v>
      </c>
      <c r="F670" s="289" t="str">
        <f ca="1">IFERROR(_xll.FDS(MO.Ticker.FactSet,"P_PRICE_HIGH"&amp;"("&amp;INDEX(MO_SNA_FPStartDate,0,COLUMN())&amp;","&amp;INDEX(MO_Common_QEndDate,0,COLUMN())&amp;",,,,""PRICE"",""CLOSE"")"),"N/A")</f>
        <v>N/A</v>
      </c>
      <c r="G670" s="289" t="str">
        <f ca="1">IFERROR(_xll.FDS(MO.Ticker.FactSet,"P_PRICE_HIGH"&amp;"("&amp;INDEX(MO_SNA_FPStartDate,0,COLUMN())&amp;","&amp;INDEX(MO_Common_QEndDate,0,COLUMN())&amp;",,,,""PRICE"",""CLOSE"")"),"N/A")</f>
        <v>N/A</v>
      </c>
      <c r="H670" s="289" t="str">
        <f ca="1">IFERROR(_xll.FDS(MO.Ticker.FactSet,"P_PRICE_HIGH"&amp;"("&amp;INDEX(MO_SNA_FPStartDate,0,COLUMN())&amp;","&amp;INDEX(MO_Common_QEndDate,0,COLUMN())&amp;",,,,""PRICE"",""CLOSE"")"),"N/A")</f>
        <v>N/A</v>
      </c>
      <c r="I670" s="289" t="str">
        <f ca="1">IFERROR(_xll.FDS(MO.Ticker.FactSet,"P_PRICE_HIGH"&amp;"("&amp;INDEX(MO_SNA_FPStartDate,0,COLUMN())&amp;","&amp;INDEX(MO_Common_QEndDate,0,COLUMN())&amp;",,,,""PRICE"",""CLOSE"")"),"N/A")</f>
        <v>N/A</v>
      </c>
      <c r="J670" s="289" t="str">
        <f ca="1">IFERROR(_xll.FDS(MO.Ticker.FactSet,"P_PRICE_HIGH"&amp;"("&amp;INDEX(MO_SNA_FPStartDate,0,COLUMN())&amp;","&amp;INDEX(MO_Common_QEndDate,0,COLUMN())&amp;",,,,""PRICE"",""CLOSE"")"),"N/A")</f>
        <v>N/A</v>
      </c>
      <c r="K670" s="289" t="str">
        <f ca="1">IFERROR(_xll.FDS(MO.Ticker.FactSet,"P_PRICE_HIGH"&amp;"("&amp;INDEX(MO_SNA_FPStartDate,0,COLUMN())&amp;","&amp;INDEX(MO_Common_QEndDate,0,COLUMN())&amp;",,,,""PRICE"",""CLOSE"")"),"N/A")</f>
        <v>N/A</v>
      </c>
      <c r="L670" s="289" t="str">
        <f ca="1">IFERROR(_xll.FDS(MO.Ticker.FactSet,"P_PRICE_HIGH"&amp;"("&amp;INDEX(MO_SNA_FPStartDate,0,COLUMN())&amp;","&amp;INDEX(MO_Common_QEndDate,0,COLUMN())&amp;",,,,""PRICE"",""CLOSE"")"),"N/A")</f>
        <v>N/A</v>
      </c>
      <c r="M670" s="289" t="str">
        <f ca="1">IFERROR(_xll.FDS(MO.Ticker.FactSet,"P_PRICE_HIGH"&amp;"("&amp;INDEX(MO_SNA_FPStartDate,0,COLUMN())&amp;","&amp;INDEX(MO_Common_QEndDate,0,COLUMN())&amp;",,,,""PRICE"",""CLOSE"")"),"N/A")</f>
        <v>N/A</v>
      </c>
      <c r="N670" s="289" t="str">
        <f ca="1">IFERROR(_xll.FDS(MO.Ticker.FactSet,"P_PRICE_HIGH"&amp;"("&amp;INDEX(MO_SNA_FPStartDate,0,COLUMN())&amp;","&amp;INDEX(MO_Common_QEndDate,0,COLUMN())&amp;",,,,""PRICE"",""CLOSE"")"),"N/A")</f>
        <v>N/A</v>
      </c>
      <c r="O670" s="289" t="str">
        <f ca="1">IFERROR(_xll.FDS(MO.Ticker.FactSet,"P_PRICE_HIGH"&amp;"("&amp;INDEX(MO_SNA_FPStartDate,0,COLUMN())&amp;","&amp;INDEX(MO_Common_QEndDate,0,COLUMN())&amp;",,,,""PRICE"",""CLOSE"")"),"N/A")</f>
        <v>N/A</v>
      </c>
      <c r="P670" s="289" t="str">
        <f ca="1">IFERROR(_xll.FDS(MO.Ticker.FactSet,"P_PRICE_HIGH"&amp;"("&amp;INDEX(MO_SNA_FPStartDate,0,COLUMN())&amp;","&amp;INDEX(MO_Common_QEndDate,0,COLUMN())&amp;",,,,""PRICE"",""CLOSE"")"),"N/A")</f>
        <v>N/A</v>
      </c>
      <c r="Q670" s="289" t="str">
        <f ca="1">IFERROR(_xll.FDS(MO.Ticker.FactSet,"P_PRICE_HIGH"&amp;"("&amp;INDEX(MO_SNA_FPStartDate,0,COLUMN())&amp;","&amp;INDEX(MO_Common_QEndDate,0,COLUMN())&amp;",,,,""PRICE"",""CLOSE"")"),"N/A")</f>
        <v>N/A</v>
      </c>
      <c r="R670" s="289" t="str">
        <f ca="1">IFERROR(_xll.FDS(MO.Ticker.FactSet,"P_PRICE_HIGH"&amp;"("&amp;INDEX(MO_SNA_FPStartDate,0,COLUMN())&amp;","&amp;INDEX(MO_Common_QEndDate,0,COLUMN())&amp;",,,,""PRICE"",""CLOSE"")"),"N/A")</f>
        <v>N/A</v>
      </c>
      <c r="S670" s="289" t="str">
        <f ca="1">IFERROR(_xll.FDS(MO.Ticker.FactSet,"P_PRICE_HIGH"&amp;"("&amp;INDEX(MO_SNA_FPStartDate,0,COLUMN())&amp;","&amp;INDEX(MO_Common_QEndDate,0,COLUMN())&amp;",,,,""PRICE"",""CLOSE"")"),"N/A")</f>
        <v>N/A</v>
      </c>
      <c r="T670" s="289" t="str">
        <f ca="1">IFERROR(_xll.FDS(MO.Ticker.FactSet,"P_PRICE_HIGH"&amp;"("&amp;INDEX(MO_SNA_FPStartDate,0,COLUMN())&amp;","&amp;INDEX(MO_Common_QEndDate,0,COLUMN())&amp;",,,,""PRICE"",""CLOSE"")"),"N/A")</f>
        <v>N/A</v>
      </c>
      <c r="U670" s="289" t="str">
        <f ca="1">IFERROR(_xll.FDS(MO.Ticker.FactSet,"P_PRICE_HIGH"&amp;"("&amp;INDEX(MO_SNA_FPStartDate,0,COLUMN())&amp;","&amp;INDEX(MO_Common_QEndDate,0,COLUMN())&amp;",,,,""PRICE"",""CLOSE"")"),"N/A")</f>
        <v>N/A</v>
      </c>
      <c r="V670" s="289" t="str">
        <f ca="1">IFERROR(_xll.FDS(MO.Ticker.FactSet,"P_PRICE_HIGH"&amp;"("&amp;INDEX(MO_SNA_FPStartDate,0,COLUMN())&amp;","&amp;INDEX(MO_Common_QEndDate,0,COLUMN())&amp;",,,,""PRICE"",""CLOSE"")"),"N/A")</f>
        <v>N/A</v>
      </c>
      <c r="W670" s="289" t="str">
        <f ca="1">IFERROR(_xll.FDS(MO.Ticker.FactSet,"P_PRICE_HIGH"&amp;"("&amp;INDEX(MO_SNA_FPStartDate,0,COLUMN())&amp;","&amp;INDEX(MO_Common_QEndDate,0,COLUMN())&amp;",,,,""PRICE"",""CLOSE"")"),"N/A")</f>
        <v>N/A</v>
      </c>
      <c r="X670" s="289" t="str">
        <f ca="1">IFERROR(_xll.FDS(MO.Ticker.FactSet,"P_PRICE_HIGH"&amp;"("&amp;INDEX(MO_SNA_FPStartDate,0,COLUMN())&amp;","&amp;INDEX(MO_Common_QEndDate,0,COLUMN())&amp;",,,,""PRICE"",""CLOSE"")"),"N/A")</f>
        <v>N/A</v>
      </c>
      <c r="Y670" s="289" t="str">
        <f ca="1">IFERROR(_xll.FDS(MO.Ticker.FactSet,"P_PRICE_HIGH"&amp;"("&amp;INDEX(MO_SNA_FPStartDate,0,COLUMN())&amp;","&amp;INDEX(MO_Common_QEndDate,0,COLUMN())&amp;",,,,""PRICE"",""CLOSE"")"),"N/A")</f>
        <v>N/A</v>
      </c>
      <c r="Z670" s="289" t="str">
        <f ca="1">IFERROR(_xll.FDS(MO.Ticker.FactSet,"P_PRICE_HIGH"&amp;"("&amp;INDEX(MO_SNA_FPStartDate,0,COLUMN())&amp;","&amp;INDEX(MO_Common_QEndDate,0,COLUMN())&amp;",,,,""PRICE"",""CLOSE"")"),"N/A")</f>
        <v>N/A</v>
      </c>
      <c r="AA670" s="289" t="str">
        <f ca="1">IFERROR(_xll.FDS(MO.Ticker.FactSet,"P_PRICE_HIGH"&amp;"("&amp;INDEX(MO_SNA_FPStartDate,0,COLUMN())&amp;","&amp;INDEX(MO_Common_QEndDate,0,COLUMN())&amp;",,,,""PRICE"",""CLOSE"")"),"N/A")</f>
        <v>N/A</v>
      </c>
      <c r="AB670" s="289" t="str">
        <f ca="1">IFERROR(_xll.FDS(MO.Ticker.FactSet,"P_PRICE_HIGH"&amp;"("&amp;INDEX(MO_SNA_FPStartDate,0,COLUMN())&amp;","&amp;INDEX(MO_Common_QEndDate,0,COLUMN())&amp;",,,,""PRICE"",""CLOSE"")"),"N/A")</f>
        <v>N/A</v>
      </c>
      <c r="AC670" s="289" t="str">
        <f ca="1">IFERROR(_xll.FDS(MO.Ticker.FactSet,"P_PRICE_HIGH"&amp;"("&amp;INDEX(MO_SNA_FPStartDate,0,COLUMN())&amp;","&amp;INDEX(MO_Common_QEndDate,0,COLUMN())&amp;",,,,""PRICE"",""CLOSE"")"),"N/A")</f>
        <v>N/A</v>
      </c>
      <c r="AD670" s="289" t="str">
        <f ca="1">IFERROR(_xll.FDS(MO.Ticker.FactSet,"P_PRICE_HIGH"&amp;"("&amp;INDEX(MO_SNA_FPStartDate,0,COLUMN())&amp;","&amp;INDEX(MO_Common_QEndDate,0,COLUMN())&amp;",,,,""PRICE"",""CLOSE"")"),"N/A")</f>
        <v>N/A</v>
      </c>
      <c r="AE670" s="289" t="str">
        <f ca="1">IFERROR(_xll.FDS(MO.Ticker.FactSet,"P_PRICE_HIGH"&amp;"("&amp;INDEX(MO_SNA_FPStartDate,0,COLUMN())&amp;","&amp;INDEX(MO_Common_QEndDate,0,COLUMN())&amp;",,,,""PRICE"",""CLOSE"")"),"N/A")</f>
        <v>N/A</v>
      </c>
      <c r="AF670" s="289" t="str">
        <f ca="1">IFERROR(_xll.FDS(MO.Ticker.FactSet,"P_PRICE_HIGH"&amp;"("&amp;INDEX(MO_SNA_FPStartDate,0,COLUMN())&amp;","&amp;INDEX(MO_Common_QEndDate,0,COLUMN())&amp;",,,,""PRICE"",""CLOSE"")"),"N/A")</f>
        <v>N/A</v>
      </c>
      <c r="AG670" s="289" t="str">
        <f ca="1">IFERROR(_xll.FDS(MO.Ticker.FactSet,"P_PRICE_HIGH"&amp;"("&amp;INDEX(MO_SNA_FPStartDate,0,COLUMN())&amp;","&amp;INDEX(MO_Common_QEndDate,0,COLUMN())&amp;",,,,""PRICE"",""CLOSE"")"),"N/A")</f>
        <v>N/A</v>
      </c>
      <c r="AH670" s="289" t="str">
        <f ca="1">IFERROR(_xll.FDS(MO.Ticker.FactSet,"P_PRICE_HIGH"&amp;"("&amp;INDEX(MO_SNA_FPStartDate,0,COLUMN())&amp;","&amp;INDEX(MO_Common_QEndDate,0,COLUMN())&amp;",,,,""PRICE"",""CLOSE"")"),"N/A")</f>
        <v>N/A</v>
      </c>
      <c r="AI670" s="289" t="str">
        <f ca="1">IFERROR(_xll.FDS(MO.Ticker.FactSet,"P_PRICE_HIGH"&amp;"("&amp;INDEX(MO_SNA_FPStartDate,0,COLUMN())&amp;","&amp;INDEX(MO_Common_QEndDate,0,COLUMN())&amp;",,,,""PRICE"",""CLOSE"")"),"N/A")</f>
        <v>N/A</v>
      </c>
      <c r="AJ670" s="289" t="str">
        <f ca="1">IFERROR(_xll.FDS(MO.Ticker.FactSet,"P_PRICE_HIGH"&amp;"("&amp;INDEX(MO_SNA_FPStartDate,0,COLUMN())&amp;","&amp;INDEX(MO_Common_QEndDate,0,COLUMN())&amp;",,,,""PRICE"",""CLOSE"")"),"N/A")</f>
        <v>N/A</v>
      </c>
      <c r="AK670" s="289" t="str">
        <f ca="1">IFERROR(_xll.FDS(MO.Ticker.FactSet,"P_PRICE_HIGH"&amp;"("&amp;INDEX(MO_SNA_FPStartDate,0,COLUMN())&amp;","&amp;INDEX(MO_Common_QEndDate,0,COLUMN())&amp;",,,,""PRICE"",""CLOSE"")"),"N/A")</f>
        <v>N/A</v>
      </c>
      <c r="AL670" s="289" t="str">
        <f ca="1">IFERROR(_xll.FDS(MO.Ticker.FactSet,"P_PRICE_HIGH"&amp;"("&amp;INDEX(MO_SNA_FPStartDate,0,COLUMN())&amp;","&amp;INDEX(MO_Common_QEndDate,0,COLUMN())&amp;",,,,""PRICE"",""CLOSE"")"),"N/A")</f>
        <v>N/A</v>
      </c>
      <c r="AM670" s="289" t="str">
        <f ca="1">IFERROR(_xll.FDS(MO.Ticker.FactSet,"P_PRICE_HIGH"&amp;"("&amp;INDEX(MO_SNA_FPStartDate,0,COLUMN())&amp;","&amp;INDEX(MO_Common_QEndDate,0,COLUMN())&amp;",,,,""PRICE"",""CLOSE"")"),"N/A")</f>
        <v>N/A</v>
      </c>
      <c r="AN670" s="289" t="str">
        <f ca="1">IFERROR(_xll.FDS(MO.Ticker.FactSet,"P_PRICE_HIGH"&amp;"("&amp;INDEX(MO_SNA_FPStartDate,0,COLUMN())&amp;","&amp;INDEX(MO_Common_QEndDate,0,COLUMN())&amp;",,,,""PRICE"",""CLOSE"")"),"N/A")</f>
        <v>N/A</v>
      </c>
      <c r="AO670" s="289" t="str">
        <f ca="1">IFERROR(_xll.FDS(MO.Ticker.FactSet,"P_PRICE_HIGH"&amp;"("&amp;INDEX(MO_SNA_FPStartDate,0,COLUMN())&amp;","&amp;INDEX(MO_Common_QEndDate,0,COLUMN())&amp;",,,,""PRICE"",""CLOSE"")"),"N/A")</f>
        <v>N/A</v>
      </c>
      <c r="AP670" s="289" t="str">
        <f ca="1">IFERROR(_xll.FDS(MO.Ticker.FactSet,"P_PRICE_HIGH"&amp;"("&amp;INDEX(MO_SNA_FPStartDate,0,COLUMN())&amp;","&amp;INDEX(MO_Common_QEndDate,0,COLUMN())&amp;",,,,""PRICE"",""CLOSE"")"),"N/A")</f>
        <v>N/A</v>
      </c>
      <c r="AQ670" s="289" t="str">
        <f ca="1">IFERROR(_xll.FDS(MO.Ticker.FactSet,"P_PRICE_HIGH"&amp;"("&amp;INDEX(MO_SNA_FPStartDate,0,COLUMN())&amp;","&amp;INDEX(MO_Common_QEndDate,0,COLUMN())&amp;",,,,""PRICE"",""CLOSE"")"),"N/A")</f>
        <v>N/A</v>
      </c>
      <c r="AR670" s="289" t="str">
        <f ca="1">IFERROR(_xll.FDS(MO.Ticker.FactSet,"P_PRICE_HIGH"&amp;"("&amp;INDEX(MO_SNA_FPStartDate,0,COLUMN())&amp;","&amp;INDEX(MO_Common_QEndDate,0,COLUMN())&amp;",,,,""PRICE"",""CLOSE"")"),"N/A")</f>
        <v>N/A</v>
      </c>
      <c r="AS670" s="289" t="str">
        <f ca="1">IFERROR(_xll.FDS(MO.Ticker.FactSet,"P_PRICE_HIGH"&amp;"("&amp;INDEX(MO_SNA_FPStartDate,0,COLUMN())&amp;","&amp;INDEX(MO_Common_QEndDate,0,COLUMN())&amp;",,,,""PRICE"",""CLOSE"")"),"N/A")</f>
        <v>N/A</v>
      </c>
      <c r="AT670" s="289" t="str">
        <f ca="1">IFERROR(_xll.FDS(MO.Ticker.FactSet,"P_PRICE_HIGH"&amp;"("&amp;INDEX(MO_SNA_FPStartDate,0,COLUMN())&amp;","&amp;INDEX(MO_Common_QEndDate,0,COLUMN())&amp;",,,,""PRICE"",""CLOSE"")"),"N/A")</f>
        <v>N/A</v>
      </c>
      <c r="AU670" s="289" t="str">
        <f ca="1">IFERROR(_xll.FDS(MO.Ticker.FactSet,"P_PRICE_HIGH"&amp;"("&amp;INDEX(MO_SNA_FPStartDate,0,COLUMN())&amp;","&amp;INDEX(MO_Common_QEndDate,0,COLUMN())&amp;",,,,""PRICE"",""CLOSE"")"),"N/A")</f>
        <v>N/A</v>
      </c>
      <c r="AV670" s="289" t="str">
        <f ca="1">IFERROR(_xll.FDS(MO.Ticker.FactSet,"P_PRICE_HIGH"&amp;"("&amp;INDEX(MO_SNA_FPStartDate,0,COLUMN())&amp;","&amp;INDEX(MO_Common_QEndDate,0,COLUMN())&amp;",,,,""PRICE"",""CLOSE"")"),"N/A")</f>
        <v>N/A</v>
      </c>
      <c r="AW670" s="289" t="str">
        <f ca="1">IFERROR(_xll.FDS(MO.Ticker.FactSet,"P_PRICE_HIGH"&amp;"("&amp;INDEX(MO_SNA_FPStartDate,0,COLUMN())&amp;","&amp;INDEX(MO_Common_QEndDate,0,COLUMN())&amp;",,,,""PRICE"",""CLOSE"")"),"N/A")</f>
        <v>N/A</v>
      </c>
      <c r="AX670" s="289" t="str">
        <f ca="1">IFERROR(_xll.FDS(MO.Ticker.FactSet,"P_PRICE_HIGH"&amp;"("&amp;INDEX(MO_SNA_FPStartDate,0,COLUMN())&amp;","&amp;INDEX(MO_Common_QEndDate,0,COLUMN())&amp;",,,,""PRICE"",""CLOSE"")"),"N/A")</f>
        <v>N/A</v>
      </c>
      <c r="AY670" s="289" t="str">
        <f ca="1">IFERROR(_xll.FDS(MO.Ticker.FactSet,"P_PRICE_HIGH"&amp;"("&amp;INDEX(MO_SNA_FPStartDate,0,COLUMN())&amp;","&amp;INDEX(MO_Common_QEndDate,0,COLUMN())&amp;",,,,""PRICE"",""CLOSE"")"),"N/A")</f>
        <v>N/A</v>
      </c>
      <c r="AZ670" s="289" t="str">
        <f ca="1">IFERROR(_xll.FDS(MO.Ticker.FactSet,"P_PRICE_HIGH"&amp;"("&amp;INDEX(MO_SNA_FPStartDate,0,COLUMN())&amp;","&amp;INDEX(MO_Common_QEndDate,0,COLUMN())&amp;",,,,""PRICE"",""CLOSE"")"),"N/A")</f>
        <v>N/A</v>
      </c>
      <c r="BA670" s="289" t="str">
        <f ca="1">IFERROR(_xll.FDS(MO.Ticker.FactSet,"P_PRICE_HIGH"&amp;"("&amp;INDEX(MO_SNA_FPStartDate,0,COLUMN())&amp;","&amp;INDEX(MO_Common_QEndDate,0,COLUMN())&amp;",,,,""PRICE"",""CLOSE"")"),"N/A")</f>
        <v>N/A</v>
      </c>
      <c r="BB670" s="289" t="str">
        <f ca="1">IFERROR(_xll.FDS(MO.Ticker.FactSet,"P_PRICE_HIGH"&amp;"("&amp;INDEX(MO_SNA_FPStartDate,0,COLUMN())&amp;","&amp;INDEX(MO_Common_QEndDate,0,COLUMN())&amp;",,,,""PRICE"",""CLOSE"")"),"N/A")</f>
        <v>N/A</v>
      </c>
      <c r="BC670" s="289" t="str">
        <f ca="1">IFERROR(_xll.FDS(MO.Ticker.FactSet,"P_PRICE_HIGH"&amp;"("&amp;INDEX(MO_SNA_FPStartDate,0,COLUMN())&amp;","&amp;INDEX(MO_Common_QEndDate,0,COLUMN())&amp;",,,,""PRICE"",""CLOSE"")"),"N/A")</f>
        <v>N/A</v>
      </c>
      <c r="BD670" s="289" t="str">
        <f ca="1">IFERROR(_xll.FDS(MO.Ticker.FactSet,"P_PRICE_HIGH"&amp;"("&amp;INDEX(MO_SNA_FPStartDate,0,COLUMN())&amp;","&amp;INDEX(MO_Common_QEndDate,0,COLUMN())&amp;",,,,""PRICE"",""CLOSE"")"),"N/A")</f>
        <v>N/A</v>
      </c>
      <c r="BE670" s="289" t="str">
        <f ca="1">IFERROR(_xll.FDS(MO.Ticker.FactSet,"P_PRICE_HIGH"&amp;"("&amp;INDEX(MO_SNA_FPStartDate,0,COLUMN())&amp;","&amp;INDEX(MO_Common_QEndDate,0,COLUMN())&amp;",,,,""PRICE"",""CLOSE"")"),"N/A")</f>
        <v>N/A</v>
      </c>
      <c r="BF670" s="289" t="str">
        <f ca="1">IFERROR(_xll.FDS(MO.Ticker.FactSet,"P_PRICE_HIGH"&amp;"("&amp;INDEX(MO_SNA_FPStartDate,0,COLUMN())&amp;","&amp;INDEX(MO_Common_QEndDate,0,COLUMN())&amp;",,,,""PRICE"",""CLOSE"")"),"N/A")</f>
        <v>N/A</v>
      </c>
      <c r="BG670" s="289" t="str">
        <f ca="1">IFERROR(_xll.FDS(MO.Ticker.FactSet,"P_PRICE_HIGH"&amp;"("&amp;INDEX(MO_SNA_FPStartDate,0,COLUMN())&amp;","&amp;INDEX(MO_Common_QEndDate,0,COLUMN())&amp;",,,,""PRICE"",""CLOSE"")"),"N/A")</f>
        <v>N/A</v>
      </c>
      <c r="BH670" s="266" t="str">
        <f ca="1">IFERROR(_xll.FDS(MO.Ticker.FactSet,"P_PRICE_HIGH"&amp;"("&amp;INDEX(MO_SNA_FPStartDate,0,COLUMN())&amp;","&amp;INDEX(MO_Common_QEndDate,0,COLUMN())&amp;",,,,""PRICE"",""CLOSE"")"),"N/A")</f>
        <v>N/A</v>
      </c>
      <c r="BI670" s="257" t="str">
        <f ca="1">IFERROR(_xll.FDS(MO.Ticker.FactSet,"P_PRICE_HIGH"&amp;"("&amp;INDEX(MO_SNA_FPStartDate,0,COLUMN())&amp;","&amp;INDEX(MO_Common_QEndDate,0,COLUMN())&amp;",,,,""PRICE"",""CLOSE"")"),"N/A")</f>
        <v>N/A</v>
      </c>
      <c r="BJ670" s="257" t="str">
        <f ca="1">IFERROR(_xll.FDS(MO.Ticker.FactSet,"P_PRICE_HIGH"&amp;"("&amp;INDEX(MO_SNA_FPStartDate,0,COLUMN())&amp;","&amp;INDEX(MO_Common_QEndDate,0,COLUMN())&amp;",,,,""PRICE"",""CLOSE"")"),"N/A")</f>
        <v>N/A</v>
      </c>
      <c r="BK670" s="257" t="str">
        <f ca="1">IFERROR(_xll.FDS(MO.Ticker.FactSet,"P_PRICE_HIGH"&amp;"("&amp;INDEX(MO_SNA_FPStartDate,0,COLUMN())&amp;","&amp;INDEX(MO_Common_QEndDate,0,COLUMN())&amp;",,,,""PRICE"",""CLOSE"")"),"N/A")</f>
        <v>N/A</v>
      </c>
      <c r="BL670" s="257" t="str">
        <f ca="1">IFERROR(_xll.FDS(MO.Ticker.FactSet,"P_PRICE_HIGH"&amp;"("&amp;INDEX(MO_SNA_FPStartDate,0,COLUMN())&amp;","&amp;INDEX(MO_Common_QEndDate,0,COLUMN())&amp;",,,,""PRICE"",""CLOSE"")"),"N/A")</f>
        <v>N/A</v>
      </c>
      <c r="BM670" s="257" t="str">
        <f ca="1">IFERROR(_xll.FDS(MO.Ticker.FactSet,"P_PRICE_HIGH"&amp;"("&amp;INDEX(MO_SNA_FPStartDate,0,COLUMN())&amp;","&amp;INDEX(MO_Common_QEndDate,0,COLUMN())&amp;",,,,""PRICE"",""CLOSE"")"),"N/A")</f>
        <v>N/A</v>
      </c>
      <c r="BN670" s="257" t="str">
        <f ca="1">IFERROR(_xll.FDS(MO.Ticker.FactSet,"P_PRICE_HIGH"&amp;"("&amp;INDEX(MO_SNA_FPStartDate,0,COLUMN())&amp;","&amp;INDEX(MO_Common_QEndDate,0,COLUMN())&amp;",,,,""PRICE"",""CLOSE"")"),"N/A")</f>
        <v>N/A</v>
      </c>
      <c r="BO670" s="257" t="str">
        <f ca="1">IFERROR(_xll.FDS(MO.Ticker.FactSet,"P_PRICE_HIGH"&amp;"("&amp;INDEX(MO_SNA_FPStartDate,0,COLUMN())&amp;","&amp;INDEX(MO_Common_QEndDate,0,COLUMN())&amp;",,,,""PRICE"",""CLOSE"")"),"N/A")</f>
        <v>N/A</v>
      </c>
      <c r="BP670" s="289" t="str">
        <f ca="1">IFERROR(_xll.FDS(MO.Ticker.FactSet,"P_PRICE_HIGH"&amp;"("&amp;INDEX(MO_SNA_FPStartDate,0,COLUMN())&amp;","&amp;INDEX(MO_Common_QEndDate,0,COLUMN())&amp;",,,,""PRICE"",""CLOSE"")"),"N/A")</f>
        <v>N/A</v>
      </c>
      <c r="BQ670" s="289" t="str">
        <f ca="1">IFERROR(_xll.FDS(MO.Ticker.FactSet,"P_PRICE_HIGH"&amp;"("&amp;INDEX(MO_SNA_FPStartDate,0,COLUMN())&amp;","&amp;INDEX(MO_Common_QEndDate,0,COLUMN())&amp;",,,,""PRICE"",""CLOSE"")"),"N/A")</f>
        <v>N/A</v>
      </c>
      <c r="BR670" s="258" t="str">
        <f ca="1">IFERROR(_xll.FDS(MO.Ticker.FactSet,"P_PRICE_HIGH"&amp;"("&amp;INDEX(MO_SNA_FPStartDate,0,COLUMN())&amp;","&amp;INDEX(MO_Common_QEndDate,0,COLUMN())&amp;",,,,""PRICE"",""CLOSE"")"),"N/A")</f>
        <v>N/A</v>
      </c>
      <c r="BS670" s="371"/>
    </row>
    <row r="671" spans="1:71" s="690" customFormat="1" ht="15" hidden="1" outlineLevel="1">
      <c r="A671" s="259" t="s">
        <v>513</v>
      </c>
      <c r="B671" s="257"/>
      <c r="C671" s="436" t="str">
        <f ca="1">IFERROR(_xll.TR(MO.Ticker.Thomson,"MAX(TR.Pricehigh)","sdate:#1 edate:#2",,INDEX(MO_SNA_FPStartDate,0,COLUMN()),INDEX(MO_Common_QEndDate,0,COLUMN())),"N/A")</f>
        <v>N/A</v>
      </c>
      <c r="D671" s="436" t="str">
        <f ca="1">IFERROR(_xll.TR(MO.Ticker.Thomson,"MAX(TR.Pricehigh)","sdate:#1 edate:#2",,INDEX(MO_SNA_FPStartDate,0,COLUMN()),INDEX(MO_Common_QEndDate,0,COLUMN())),"N/A")</f>
        <v>N/A</v>
      </c>
      <c r="E671" s="289" t="str">
        <f ca="1">IFERROR(_xll.TR(MO.Ticker.Thomson,"MAX(TR.Pricehigh)","sdate:#1 edate:#2",,INDEX(MO_SNA_FPStartDate,0,COLUMN()),INDEX(MO_Common_QEndDate,0,COLUMN())),"N/A")</f>
        <v>N/A</v>
      </c>
      <c r="F671" s="289" t="str">
        <f ca="1">IFERROR(_xll.TR(MO.Ticker.Thomson,"MAX(TR.Pricehigh)","sdate:#1 edate:#2",,INDEX(MO_SNA_FPStartDate,0,COLUMN()),INDEX(MO_Common_QEndDate,0,COLUMN())),"N/A")</f>
        <v>N/A</v>
      </c>
      <c r="G671" s="289" t="str">
        <f ca="1">IFERROR(_xll.TR(MO.Ticker.Thomson,"MAX(TR.Pricehigh)","sdate:#1 edate:#2",,INDEX(MO_SNA_FPStartDate,0,COLUMN()),INDEX(MO_Common_QEndDate,0,COLUMN())),"N/A")</f>
        <v>N/A</v>
      </c>
      <c r="H671" s="289" t="str">
        <f ca="1">IFERROR(_xll.TR(MO.Ticker.Thomson,"MAX(TR.Pricehigh)","sdate:#1 edate:#2",,INDEX(MO_SNA_FPStartDate,0,COLUMN()),INDEX(MO_Common_QEndDate,0,COLUMN())),"N/A")</f>
        <v>N/A</v>
      </c>
      <c r="I671" s="289" t="str">
        <f ca="1">IFERROR(_xll.TR(MO.Ticker.Thomson,"MAX(TR.Pricehigh)","sdate:#1 edate:#2",,INDEX(MO_SNA_FPStartDate,0,COLUMN()),INDEX(MO_Common_QEndDate,0,COLUMN())),"N/A")</f>
        <v>N/A</v>
      </c>
      <c r="J671" s="289" t="str">
        <f ca="1">IFERROR(_xll.TR(MO.Ticker.Thomson,"MAX(TR.Pricehigh)","sdate:#1 edate:#2",,INDEX(MO_SNA_FPStartDate,0,COLUMN()),INDEX(MO_Common_QEndDate,0,COLUMN())),"N/A")</f>
        <v>N/A</v>
      </c>
      <c r="K671" s="289" t="str">
        <f ca="1">IFERROR(_xll.TR(MO.Ticker.Thomson,"MAX(TR.Pricehigh)","sdate:#1 edate:#2",,INDEX(MO_SNA_FPStartDate,0,COLUMN()),INDEX(MO_Common_QEndDate,0,COLUMN())),"N/A")</f>
        <v>N/A</v>
      </c>
      <c r="L671" s="289" t="str">
        <f ca="1">IFERROR(_xll.TR(MO.Ticker.Thomson,"MAX(TR.Pricehigh)","sdate:#1 edate:#2",,INDEX(MO_SNA_FPStartDate,0,COLUMN()),INDEX(MO_Common_QEndDate,0,COLUMN())),"N/A")</f>
        <v>N/A</v>
      </c>
      <c r="M671" s="289" t="str">
        <f ca="1">IFERROR(_xll.TR(MO.Ticker.Thomson,"MAX(TR.Pricehigh)","sdate:#1 edate:#2",,INDEX(MO_SNA_FPStartDate,0,COLUMN()),INDEX(MO_Common_QEndDate,0,COLUMN())),"N/A")</f>
        <v>N/A</v>
      </c>
      <c r="N671" s="289" t="str">
        <f ca="1">IFERROR(_xll.TR(MO.Ticker.Thomson,"MAX(TR.Pricehigh)","sdate:#1 edate:#2",,INDEX(MO_SNA_FPStartDate,0,COLUMN()),INDEX(MO_Common_QEndDate,0,COLUMN())),"N/A")</f>
        <v>N/A</v>
      </c>
      <c r="O671" s="289" t="str">
        <f ca="1">IFERROR(_xll.TR(MO.Ticker.Thomson,"MAX(TR.Pricehigh)","sdate:#1 edate:#2",,INDEX(MO_SNA_FPStartDate,0,COLUMN()),INDEX(MO_Common_QEndDate,0,COLUMN())),"N/A")</f>
        <v>N/A</v>
      </c>
      <c r="P671" s="289" t="str">
        <f ca="1">IFERROR(_xll.TR(MO.Ticker.Thomson,"MAX(TR.Pricehigh)","sdate:#1 edate:#2",,INDEX(MO_SNA_FPStartDate,0,COLUMN()),INDEX(MO_Common_QEndDate,0,COLUMN())),"N/A")</f>
        <v>N/A</v>
      </c>
      <c r="Q671" s="289" t="str">
        <f ca="1">IFERROR(_xll.TR(MO.Ticker.Thomson,"MAX(TR.Pricehigh)","sdate:#1 edate:#2",,INDEX(MO_SNA_FPStartDate,0,COLUMN()),INDEX(MO_Common_QEndDate,0,COLUMN())),"N/A")</f>
        <v>N/A</v>
      </c>
      <c r="R671" s="289" t="str">
        <f ca="1">IFERROR(_xll.TR(MO.Ticker.Thomson,"MAX(TR.Pricehigh)","sdate:#1 edate:#2",,INDEX(MO_SNA_FPStartDate,0,COLUMN()),INDEX(MO_Common_QEndDate,0,COLUMN())),"N/A")</f>
        <v>N/A</v>
      </c>
      <c r="S671" s="289" t="str">
        <f ca="1">IFERROR(_xll.TR(MO.Ticker.Thomson,"MAX(TR.Pricehigh)","sdate:#1 edate:#2",,INDEX(MO_SNA_FPStartDate,0,COLUMN()),INDEX(MO_Common_QEndDate,0,COLUMN())),"N/A")</f>
        <v>N/A</v>
      </c>
      <c r="T671" s="289" t="str">
        <f ca="1">IFERROR(_xll.TR(MO.Ticker.Thomson,"MAX(TR.Pricehigh)","sdate:#1 edate:#2",,INDEX(MO_SNA_FPStartDate,0,COLUMN()),INDEX(MO_Common_QEndDate,0,COLUMN())),"N/A")</f>
        <v>N/A</v>
      </c>
      <c r="U671" s="289" t="str">
        <f ca="1">IFERROR(_xll.TR(MO.Ticker.Thomson,"MAX(TR.Pricehigh)","sdate:#1 edate:#2",,INDEX(MO_SNA_FPStartDate,0,COLUMN()),INDEX(MO_Common_QEndDate,0,COLUMN())),"N/A")</f>
        <v>N/A</v>
      </c>
      <c r="V671" s="289" t="str">
        <f ca="1">IFERROR(_xll.TR(MO.Ticker.Thomson,"MAX(TR.Pricehigh)","sdate:#1 edate:#2",,INDEX(MO_SNA_FPStartDate,0,COLUMN()),INDEX(MO_Common_QEndDate,0,COLUMN())),"N/A")</f>
        <v>N/A</v>
      </c>
      <c r="W671" s="289" t="str">
        <f ca="1">IFERROR(_xll.TR(MO.Ticker.Thomson,"MAX(TR.Pricehigh)","sdate:#1 edate:#2",,INDEX(MO_SNA_FPStartDate,0,COLUMN()),INDEX(MO_Common_QEndDate,0,COLUMN())),"N/A")</f>
        <v>N/A</v>
      </c>
      <c r="X671" s="289" t="str">
        <f ca="1">IFERROR(_xll.TR(MO.Ticker.Thomson,"MAX(TR.Pricehigh)","sdate:#1 edate:#2",,INDEX(MO_SNA_FPStartDate,0,COLUMN()),INDEX(MO_Common_QEndDate,0,COLUMN())),"N/A")</f>
        <v>N/A</v>
      </c>
      <c r="Y671" s="289" t="str">
        <f ca="1">IFERROR(_xll.TR(MO.Ticker.Thomson,"MAX(TR.Pricehigh)","sdate:#1 edate:#2",,INDEX(MO_SNA_FPStartDate,0,COLUMN()),INDEX(MO_Common_QEndDate,0,COLUMN())),"N/A")</f>
        <v>N/A</v>
      </c>
      <c r="Z671" s="289" t="str">
        <f ca="1">IFERROR(_xll.TR(MO.Ticker.Thomson,"MAX(TR.Pricehigh)","sdate:#1 edate:#2",,INDEX(MO_SNA_FPStartDate,0,COLUMN()),INDEX(MO_Common_QEndDate,0,COLUMN())),"N/A")</f>
        <v>N/A</v>
      </c>
      <c r="AA671" s="289" t="str">
        <f ca="1">IFERROR(_xll.TR(MO.Ticker.Thomson,"MAX(TR.Pricehigh)","sdate:#1 edate:#2",,INDEX(MO_SNA_FPStartDate,0,COLUMN()),INDEX(MO_Common_QEndDate,0,COLUMN())),"N/A")</f>
        <v>N/A</v>
      </c>
      <c r="AB671" s="289" t="str">
        <f ca="1">IFERROR(_xll.TR(MO.Ticker.Thomson,"MAX(TR.Pricehigh)","sdate:#1 edate:#2",,INDEX(MO_SNA_FPStartDate,0,COLUMN()),INDEX(MO_Common_QEndDate,0,COLUMN())),"N/A")</f>
        <v>N/A</v>
      </c>
      <c r="AC671" s="289" t="str">
        <f ca="1">IFERROR(_xll.TR(MO.Ticker.Thomson,"MAX(TR.Pricehigh)","sdate:#1 edate:#2",,INDEX(MO_SNA_FPStartDate,0,COLUMN()),INDEX(MO_Common_QEndDate,0,COLUMN())),"N/A")</f>
        <v>N/A</v>
      </c>
      <c r="AD671" s="289" t="str">
        <f ca="1">IFERROR(_xll.TR(MO.Ticker.Thomson,"MAX(TR.Pricehigh)","sdate:#1 edate:#2",,INDEX(MO_SNA_FPStartDate,0,COLUMN()),INDEX(MO_Common_QEndDate,0,COLUMN())),"N/A")</f>
        <v>N/A</v>
      </c>
      <c r="AE671" s="289" t="str">
        <f ca="1">IFERROR(_xll.TR(MO.Ticker.Thomson,"MAX(TR.Pricehigh)","sdate:#1 edate:#2",,INDEX(MO_SNA_FPStartDate,0,COLUMN()),INDEX(MO_Common_QEndDate,0,COLUMN())),"N/A")</f>
        <v>N/A</v>
      </c>
      <c r="AF671" s="289" t="str">
        <f ca="1">IFERROR(_xll.TR(MO.Ticker.Thomson,"MAX(TR.Pricehigh)","sdate:#1 edate:#2",,INDEX(MO_SNA_FPStartDate,0,COLUMN()),INDEX(MO_Common_QEndDate,0,COLUMN())),"N/A")</f>
        <v>N/A</v>
      </c>
      <c r="AG671" s="289" t="str">
        <f ca="1">IFERROR(_xll.TR(MO.Ticker.Thomson,"MAX(TR.Pricehigh)","sdate:#1 edate:#2",,INDEX(MO_SNA_FPStartDate,0,COLUMN()),INDEX(MO_Common_QEndDate,0,COLUMN())),"N/A")</f>
        <v>N/A</v>
      </c>
      <c r="AH671" s="289" t="str">
        <f ca="1">IFERROR(_xll.TR(MO.Ticker.Thomson,"MAX(TR.Pricehigh)","sdate:#1 edate:#2",,INDEX(MO_SNA_FPStartDate,0,COLUMN()),INDEX(MO_Common_QEndDate,0,COLUMN())),"N/A")</f>
        <v>N/A</v>
      </c>
      <c r="AI671" s="289" t="str">
        <f ca="1">IFERROR(_xll.TR(MO.Ticker.Thomson,"MAX(TR.Pricehigh)","sdate:#1 edate:#2",,INDEX(MO_SNA_FPStartDate,0,COLUMN()),INDEX(MO_Common_QEndDate,0,COLUMN())),"N/A")</f>
        <v>N/A</v>
      </c>
      <c r="AJ671" s="289" t="str">
        <f ca="1">IFERROR(_xll.TR(MO.Ticker.Thomson,"MAX(TR.Pricehigh)","sdate:#1 edate:#2",,INDEX(MO_SNA_FPStartDate,0,COLUMN()),INDEX(MO_Common_QEndDate,0,COLUMN())),"N/A")</f>
        <v>N/A</v>
      </c>
      <c r="AK671" s="289" t="str">
        <f ca="1">IFERROR(_xll.TR(MO.Ticker.Thomson,"MAX(TR.Pricehigh)","sdate:#1 edate:#2",,INDEX(MO_SNA_FPStartDate,0,COLUMN()),INDEX(MO_Common_QEndDate,0,COLUMN())),"N/A")</f>
        <v>N/A</v>
      </c>
      <c r="AL671" s="289" t="str">
        <f ca="1">IFERROR(_xll.TR(MO.Ticker.Thomson,"MAX(TR.Pricehigh)","sdate:#1 edate:#2",,INDEX(MO_SNA_FPStartDate,0,COLUMN()),INDEX(MO_Common_QEndDate,0,COLUMN())),"N/A")</f>
        <v>N/A</v>
      </c>
      <c r="AM671" s="289" t="str">
        <f ca="1">IFERROR(_xll.TR(MO.Ticker.Thomson,"MAX(TR.Pricehigh)","sdate:#1 edate:#2",,INDEX(MO_SNA_FPStartDate,0,COLUMN()),INDEX(MO_Common_QEndDate,0,COLUMN())),"N/A")</f>
        <v>N/A</v>
      </c>
      <c r="AN671" s="289" t="str">
        <f ca="1">IFERROR(_xll.TR(MO.Ticker.Thomson,"MAX(TR.Pricehigh)","sdate:#1 edate:#2",,INDEX(MO_SNA_FPStartDate,0,COLUMN()),INDEX(MO_Common_QEndDate,0,COLUMN())),"N/A")</f>
        <v>N/A</v>
      </c>
      <c r="AO671" s="289" t="str">
        <f ca="1">IFERROR(_xll.TR(MO.Ticker.Thomson,"MAX(TR.Pricehigh)","sdate:#1 edate:#2",,INDEX(MO_SNA_FPStartDate,0,COLUMN()),INDEX(MO_Common_QEndDate,0,COLUMN())),"N/A")</f>
        <v>N/A</v>
      </c>
      <c r="AP671" s="289" t="str">
        <f ca="1">IFERROR(_xll.TR(MO.Ticker.Thomson,"MAX(TR.Pricehigh)","sdate:#1 edate:#2",,INDEX(MO_SNA_FPStartDate,0,COLUMN()),INDEX(MO_Common_QEndDate,0,COLUMN())),"N/A")</f>
        <v>N/A</v>
      </c>
      <c r="AQ671" s="289" t="str">
        <f ca="1">IFERROR(_xll.TR(MO.Ticker.Thomson,"MAX(TR.Pricehigh)","sdate:#1 edate:#2",,INDEX(MO_SNA_FPStartDate,0,COLUMN()),INDEX(MO_Common_QEndDate,0,COLUMN())),"N/A")</f>
        <v>N/A</v>
      </c>
      <c r="AR671" s="289" t="str">
        <f ca="1">IFERROR(_xll.TR(MO.Ticker.Thomson,"MAX(TR.Pricehigh)","sdate:#1 edate:#2",,INDEX(MO_SNA_FPStartDate,0,COLUMN()),INDEX(MO_Common_QEndDate,0,COLUMN())),"N/A")</f>
        <v>N/A</v>
      </c>
      <c r="AS671" s="289" t="str">
        <f ca="1">IFERROR(_xll.TR(MO.Ticker.Thomson,"MAX(TR.Pricehigh)","sdate:#1 edate:#2",,INDEX(MO_SNA_FPStartDate,0,COLUMN()),INDEX(MO_Common_QEndDate,0,COLUMN())),"N/A")</f>
        <v>N/A</v>
      </c>
      <c r="AT671" s="289" t="str">
        <f ca="1">IFERROR(_xll.TR(MO.Ticker.Thomson,"MAX(TR.Pricehigh)","sdate:#1 edate:#2",,INDEX(MO_SNA_FPStartDate,0,COLUMN()),INDEX(MO_Common_QEndDate,0,COLUMN())),"N/A")</f>
        <v>N/A</v>
      </c>
      <c r="AU671" s="289" t="str">
        <f ca="1">IFERROR(_xll.TR(MO.Ticker.Thomson,"MAX(TR.Pricehigh)","sdate:#1 edate:#2",,INDEX(MO_SNA_FPStartDate,0,COLUMN()),INDEX(MO_Common_QEndDate,0,COLUMN())),"N/A")</f>
        <v>N/A</v>
      </c>
      <c r="AV671" s="289" t="str">
        <f ca="1">IFERROR(_xll.TR(MO.Ticker.Thomson,"MAX(TR.Pricehigh)","sdate:#1 edate:#2",,INDEX(MO_SNA_FPStartDate,0,COLUMN()),INDEX(MO_Common_QEndDate,0,COLUMN())),"N/A")</f>
        <v>N/A</v>
      </c>
      <c r="AW671" s="289" t="str">
        <f ca="1">IFERROR(_xll.TR(MO.Ticker.Thomson,"MAX(TR.Pricehigh)","sdate:#1 edate:#2",,INDEX(MO_SNA_FPStartDate,0,COLUMN()),INDEX(MO_Common_QEndDate,0,COLUMN())),"N/A")</f>
        <v>N/A</v>
      </c>
      <c r="AX671" s="289" t="str">
        <f ca="1">IFERROR(_xll.TR(MO.Ticker.Thomson,"MAX(TR.Pricehigh)","sdate:#1 edate:#2",,INDEX(MO_SNA_FPStartDate,0,COLUMN()),INDEX(MO_Common_QEndDate,0,COLUMN())),"N/A")</f>
        <v>N/A</v>
      </c>
      <c r="AY671" s="289" t="str">
        <f ca="1">IFERROR(_xll.TR(MO.Ticker.Thomson,"MAX(TR.Pricehigh)","sdate:#1 edate:#2",,INDEX(MO_SNA_FPStartDate,0,COLUMN()),INDEX(MO_Common_QEndDate,0,COLUMN())),"N/A")</f>
        <v>N/A</v>
      </c>
      <c r="AZ671" s="289" t="str">
        <f ca="1">IFERROR(_xll.TR(MO.Ticker.Thomson,"MAX(TR.Pricehigh)","sdate:#1 edate:#2",,INDEX(MO_SNA_FPStartDate,0,COLUMN()),INDEX(MO_Common_QEndDate,0,COLUMN())),"N/A")</f>
        <v>N/A</v>
      </c>
      <c r="BA671" s="289" t="str">
        <f ca="1">IFERROR(_xll.TR(MO.Ticker.Thomson,"MAX(TR.Pricehigh)","sdate:#1 edate:#2",,INDEX(MO_SNA_FPStartDate,0,COLUMN()),INDEX(MO_Common_QEndDate,0,COLUMN())),"N/A")</f>
        <v>N/A</v>
      </c>
      <c r="BB671" s="289" t="str">
        <f ca="1">IFERROR(_xll.TR(MO.Ticker.Thomson,"MAX(TR.Pricehigh)","sdate:#1 edate:#2",,INDEX(MO_SNA_FPStartDate,0,COLUMN()),INDEX(MO_Common_QEndDate,0,COLUMN())),"N/A")</f>
        <v>N/A</v>
      </c>
      <c r="BC671" s="289" t="str">
        <f ca="1">IFERROR(_xll.TR(MO.Ticker.Thomson,"MAX(TR.Pricehigh)","sdate:#1 edate:#2",,INDEX(MO_SNA_FPStartDate,0,COLUMN()),INDEX(MO_Common_QEndDate,0,COLUMN())),"N/A")</f>
        <v>N/A</v>
      </c>
      <c r="BD671" s="289" t="str">
        <f ca="1">IFERROR(_xll.TR(MO.Ticker.Thomson,"MAX(TR.Pricehigh)","sdate:#1 edate:#2",,INDEX(MO_SNA_FPStartDate,0,COLUMN()),INDEX(MO_Common_QEndDate,0,COLUMN())),"N/A")</f>
        <v>N/A</v>
      </c>
      <c r="BE671" s="289" t="str">
        <f ca="1">IFERROR(_xll.TR(MO.Ticker.Thomson,"MAX(TR.Pricehigh)","sdate:#1 edate:#2",,INDEX(MO_SNA_FPStartDate,0,COLUMN()),INDEX(MO_Common_QEndDate,0,COLUMN())),"N/A")</f>
        <v>N/A</v>
      </c>
      <c r="BF671" s="289" t="str">
        <f ca="1">IFERROR(_xll.TR(MO.Ticker.Thomson,"MAX(TR.Pricehigh)","sdate:#1 edate:#2",,INDEX(MO_SNA_FPStartDate,0,COLUMN()),INDEX(MO_Common_QEndDate,0,COLUMN())),"N/A")</f>
        <v>N/A</v>
      </c>
      <c r="BG671" s="289" t="str">
        <f ca="1">IFERROR(_xll.TR(MO.Ticker.Thomson,"MAX(TR.Pricehigh)","sdate:#1 edate:#2",,INDEX(MO_SNA_FPStartDate,0,COLUMN()),INDEX(MO_Common_QEndDate,0,COLUMN())),"N/A")</f>
        <v>N/A</v>
      </c>
      <c r="BH671" s="266" t="str">
        <f ca="1">IFERROR(_xll.TR(MO.Ticker.Thomson,"MAX(TR.Pricehigh)","sdate:#1 edate:#2",,INDEX(MO_SNA_FPStartDate,0,COLUMN()),INDEX(MO_Common_QEndDate,0,COLUMN())),"N/A")</f>
        <v>N/A</v>
      </c>
      <c r="BI671" s="257" t="str">
        <f ca="1">IFERROR(_xll.TR(MO.Ticker.Thomson,"MAX(TR.Pricehigh)","sdate:#1 edate:#2",,INDEX(MO_SNA_FPStartDate,0,COLUMN()),INDEX(MO_Common_QEndDate,0,COLUMN())),"N/A")</f>
        <v>N/A</v>
      </c>
      <c r="BJ671" s="257" t="str">
        <f ca="1">IFERROR(_xll.TR(MO.Ticker.Thomson,"MAX(TR.Pricehigh)","sdate:#1 edate:#2",,INDEX(MO_SNA_FPStartDate,0,COLUMN()),INDEX(MO_Common_QEndDate,0,COLUMN())),"N/A")</f>
        <v>N/A</v>
      </c>
      <c r="BK671" s="257" t="str">
        <f ca="1">IFERROR(_xll.TR(MO.Ticker.Thomson,"MAX(TR.Pricehigh)","sdate:#1 edate:#2",,INDEX(MO_SNA_FPStartDate,0,COLUMN()),INDEX(MO_Common_QEndDate,0,COLUMN())),"N/A")</f>
        <v>N/A</v>
      </c>
      <c r="BL671" s="257" t="str">
        <f ca="1">IFERROR(_xll.TR(MO.Ticker.Thomson,"MAX(TR.Pricehigh)","sdate:#1 edate:#2",,INDEX(MO_SNA_FPStartDate,0,COLUMN()),INDEX(MO_Common_QEndDate,0,COLUMN())),"N/A")</f>
        <v>N/A</v>
      </c>
      <c r="BM671" s="257" t="str">
        <f ca="1">IFERROR(_xll.TR(MO.Ticker.Thomson,"MAX(TR.Pricehigh)","sdate:#1 edate:#2",,INDEX(MO_SNA_FPStartDate,0,COLUMN()),INDEX(MO_Common_QEndDate,0,COLUMN())),"N/A")</f>
        <v>N/A</v>
      </c>
      <c r="BN671" s="257" t="str">
        <f ca="1">IFERROR(_xll.TR(MO.Ticker.Thomson,"MAX(TR.Pricehigh)","sdate:#1 edate:#2",,INDEX(MO_SNA_FPStartDate,0,COLUMN()),INDEX(MO_Common_QEndDate,0,COLUMN())),"N/A")</f>
        <v>N/A</v>
      </c>
      <c r="BO671" s="257" t="str">
        <f ca="1">IFERROR(_xll.TR(MO.Ticker.Thomson,"MAX(TR.Pricehigh)","sdate:#1 edate:#2",,INDEX(MO_SNA_FPStartDate,0,COLUMN()),INDEX(MO_Common_QEndDate,0,COLUMN())),"N/A")</f>
        <v>N/A</v>
      </c>
      <c r="BP671" s="289" t="str">
        <f ca="1">IFERROR(_xll.TR(MO.Ticker.Thomson,"MAX(TR.Pricehigh)","sdate:#1 edate:#2",,INDEX(MO_SNA_FPStartDate,0,COLUMN()),INDEX(MO_Common_QEndDate,0,COLUMN())),"N/A")</f>
        <v>N/A</v>
      </c>
      <c r="BQ671" s="289" t="str">
        <f ca="1">IFERROR(_xll.TR(MO.Ticker.Thomson,"MAX(TR.Pricehigh)","sdate:#1 edate:#2",,INDEX(MO_SNA_FPStartDate,0,COLUMN()),INDEX(MO_Common_QEndDate,0,COLUMN())),"N/A")</f>
        <v>N/A</v>
      </c>
      <c r="BR671" s="258" t="str">
        <f ca="1">IFERROR(_xll.TR(MO.Ticker.Thomson,"MAX(TR.Pricehigh)","sdate:#1 edate:#2",,INDEX(MO_SNA_FPStartDate,0,COLUMN()),INDEX(MO_Common_QEndDate,0,COLUMN())),"N/A")</f>
        <v>N/A</v>
      </c>
      <c r="BS671" s="371"/>
    </row>
    <row r="672" spans="1:71" s="692" customFormat="1" ht="15" hidden="1" outlineLevel="1">
      <c r="A672" s="245"/>
      <c r="B672" s="954"/>
      <c r="C672" s="437"/>
      <c r="D672" s="437"/>
      <c r="E672" s="952"/>
      <c r="F672" s="952"/>
      <c r="G672" s="952"/>
      <c r="H672" s="952"/>
      <c r="I672" s="952"/>
      <c r="J672" s="952"/>
      <c r="K672" s="952"/>
      <c r="L672" s="952"/>
      <c r="M672" s="952"/>
      <c r="N672" s="952"/>
      <c r="O672" s="952"/>
      <c r="P672" s="952"/>
      <c r="Q672" s="952"/>
      <c r="R672" s="952"/>
      <c r="S672" s="952"/>
      <c r="T672" s="952"/>
      <c r="U672" s="952"/>
      <c r="V672" s="952"/>
      <c r="W672" s="952"/>
      <c r="X672" s="952"/>
      <c r="Y672" s="952"/>
      <c r="Z672" s="952"/>
      <c r="AA672" s="952"/>
      <c r="AB672" s="952"/>
      <c r="AC672" s="952"/>
      <c r="AD672" s="952"/>
      <c r="AE672" s="952"/>
      <c r="AF672" s="952"/>
      <c r="AG672" s="952"/>
      <c r="AH672" s="952"/>
      <c r="AI672" s="952"/>
      <c r="AJ672" s="952"/>
      <c r="AK672" s="952"/>
      <c r="AL672" s="952"/>
      <c r="AM672" s="952"/>
      <c r="AN672" s="952"/>
      <c r="AO672" s="952"/>
      <c r="AP672" s="952"/>
      <c r="AQ672" s="952"/>
      <c r="AR672" s="952"/>
      <c r="AS672" s="952"/>
      <c r="AT672" s="952"/>
      <c r="AU672" s="952"/>
      <c r="AV672" s="952"/>
      <c r="AW672" s="952"/>
      <c r="AX672" s="952"/>
      <c r="AY672" s="952"/>
      <c r="AZ672" s="952"/>
      <c r="BA672" s="952"/>
      <c r="BB672" s="952"/>
      <c r="BC672" s="952"/>
      <c r="BD672" s="952"/>
      <c r="BE672" s="952"/>
      <c r="BF672" s="952"/>
      <c r="BG672" s="952"/>
      <c r="BH672" s="953"/>
      <c r="BI672" s="954"/>
      <c r="BJ672" s="954"/>
      <c r="BK672" s="954"/>
      <c r="BL672" s="954"/>
      <c r="BM672" s="954"/>
      <c r="BN672" s="954"/>
      <c r="BO672" s="954"/>
      <c r="BP672" s="952"/>
      <c r="BQ672" s="952"/>
      <c r="BR672" s="244"/>
      <c r="BS672" s="366"/>
    </row>
    <row r="673" spans="1:71" s="690" customFormat="1" ht="15" collapsed="1">
      <c r="A673" s="256" t="str">
        <f ca="1">"Stock Low: "&amp;IF(OR(MO.RealTimeStockPriceToggle=FALSE,VLOOKUP(MO.DataSourceName,MO_SPT_StockLow_Sources,COLUMN()+2,FALSE)="N/A"),"Real-Time Off Source",MO.DataSourceName)</f>
        <v>Stock Low: Real-Time Off Source</v>
      </c>
      <c r="B673" s="257"/>
      <c r="C673" s="436">
        <f ca="1" t="shared" si="1383" ref="C673:AK673">IF(OR(MO.RealTimeStockPriceToggle=FALSE,VLOOKUP(MO.DataSourceName,MO_SPT_StockLow_Sources,COLUMN(),FALSE)="N/A"),VLOOKUP("Real-Time Off Source",MO_SPT_StockLow_Sources,COLUMN(),FALSE),VLOOKUP(MO.DataSourceName,MO_SPT_StockLow_Sources,COLUMN(),FALSE))</f>
        <v>12.77</v>
      </c>
      <c r="D673" s="436">
        <f t="shared" ca="1" si="1383"/>
        <v>23.90</v>
      </c>
      <c r="E673" s="289">
        <f t="shared" ca="1" si="1383"/>
        <v>29.45</v>
      </c>
      <c r="F673" s="289">
        <f t="shared" ca="1" si="1383"/>
        <v>36.24</v>
      </c>
      <c r="G673" s="289">
        <f t="shared" ca="1" si="1383"/>
        <v>39.76</v>
      </c>
      <c r="H673" s="289">
        <f t="shared" ca="1" si="1383"/>
        <v>52.89</v>
      </c>
      <c r="I673" s="289">
        <f t="shared" ca="1" si="1383"/>
        <v>55.49</v>
      </c>
      <c r="J673" s="289">
        <f t="shared" ca="1" si="1383"/>
        <v>55.57</v>
      </c>
      <c r="K673" s="289">
        <f t="shared" ca="1" si="1383"/>
        <v>54.63</v>
      </c>
      <c r="L673" s="289">
        <f t="shared" ca="1" si="1383"/>
        <v>52.89</v>
      </c>
      <c r="M673" s="289">
        <f t="shared" ca="1" si="1383"/>
        <v>57.50</v>
      </c>
      <c r="N673" s="289">
        <f t="shared" ca="1" si="1383"/>
        <v>62.98</v>
      </c>
      <c r="O673" s="289">
        <f t="shared" ca="1" si="1383"/>
        <v>65.430000000000007</v>
      </c>
      <c r="P673" s="289">
        <f t="shared" ca="1" si="1383"/>
        <v>67.39</v>
      </c>
      <c r="Q673" s="289">
        <f t="shared" ca="1" si="1383"/>
        <v>57.50</v>
      </c>
      <c r="R673" s="289">
        <f t="shared" ca="1" si="1383"/>
        <v>64.870000000000005</v>
      </c>
      <c r="S673" s="289">
        <f t="shared" ca="1" si="1383"/>
        <v>66.78</v>
      </c>
      <c r="T673" s="289">
        <f t="shared" ca="1" si="1383"/>
        <v>70.819999999999993</v>
      </c>
      <c r="U673" s="289">
        <f t="shared" ca="1" si="1383"/>
        <v>73.379999999999995</v>
      </c>
      <c r="V673" s="289">
        <f t="shared" ca="1" si="1383"/>
        <v>64.870000000000005</v>
      </c>
      <c r="W673" s="289">
        <f t="shared" ca="1" si="1383"/>
        <v>85.57</v>
      </c>
      <c r="X673" s="289">
        <f t="shared" ca="1" si="1383"/>
        <v>93.25</v>
      </c>
      <c r="Y673" s="289">
        <f t="shared" ca="1" si="1383"/>
        <v>95.19</v>
      </c>
      <c r="Z673" s="289">
        <f t="shared" ca="1" si="1383"/>
        <v>101.02</v>
      </c>
      <c r="AA673" s="289">
        <f t="shared" ca="1" si="1383"/>
        <v>85.57</v>
      </c>
      <c r="AB673" s="289">
        <f t="shared" ca="1" si="1383"/>
        <v>101.63500000000001</v>
      </c>
      <c r="AC673" s="289">
        <f t="shared" ca="1" si="1383"/>
        <v>103.08159999999999</v>
      </c>
      <c r="AD673" s="289">
        <f t="shared" ca="1" si="1383"/>
        <v>102.9354</v>
      </c>
      <c r="AE673" s="289">
        <f t="shared" ca="1" si="1383"/>
        <v>84.914699999999996</v>
      </c>
      <c r="AF673" s="289">
        <f t="shared" ca="1" si="1383"/>
        <v>84.914699999999996</v>
      </c>
      <c r="AG673" s="289">
        <f t="shared" ca="1" si="1383"/>
        <v>89.10</v>
      </c>
      <c r="AH673" s="289">
        <f t="shared" ca="1" si="1383"/>
        <v>95.88</v>
      </c>
      <c r="AI673" s="289">
        <f t="shared" ca="1" si="1383"/>
        <v>97.88</v>
      </c>
      <c r="AJ673" s="289">
        <f t="shared" ca="1" si="1383"/>
        <v>100.52</v>
      </c>
      <c r="AK673" s="289">
        <f t="shared" ca="1" si="1383"/>
        <v>89.10</v>
      </c>
      <c r="AL673" s="289">
        <f ca="1" t="shared" si="1384" ref="AL673:AQ673">IF(OR(MO.RealTimeStockPriceToggle=FALSE,VLOOKUP(MO.DataSourceName,MO_SPT_StockLow_Sources,COLUMN(),FALSE)="N/A"),VLOOKUP("Real-Time Off Source",MO_SPT_StockLow_Sources,COLUMN(),FALSE),VLOOKUP(MO.DataSourceName,MO_SPT_StockLow_Sources,COLUMN(),FALSE))</f>
        <v>46.98</v>
      </c>
      <c r="AM673" s="289">
        <f t="shared" ca="1" si="1384"/>
        <v>54.44</v>
      </c>
      <c r="AN673" s="289">
        <f t="shared" ca="1" si="1384"/>
        <v>56.83</v>
      </c>
      <c r="AO673" s="289">
        <f t="shared" ca="1" si="1384"/>
        <v>68.95</v>
      </c>
      <c r="AP673" s="289">
        <f t="shared" ca="1" si="1384"/>
        <v>46.98</v>
      </c>
      <c r="AQ673" s="289">
        <f t="shared" ca="1" si="1384"/>
        <v>79.44</v>
      </c>
      <c r="AR673" s="289">
        <f ca="1" t="shared" si="1385" ref="AR673:AW673">IF(OR(MO.RealTimeStockPriceToggle=FALSE,VLOOKUP(MO.DataSourceName,MO_SPT_StockLow_Sources,COLUMN(),FALSE)="N/A"),VLOOKUP("Real-Time Off Source",MO_SPT_StockLow_Sources,COLUMN(),FALSE),VLOOKUP(MO.DataSourceName,MO_SPT_StockLow_Sources,COLUMN(),FALSE))</f>
        <v>113.94</v>
      </c>
      <c r="AS673" s="289">
        <f t="shared" ca="1" si="1385"/>
        <v>120</v>
      </c>
      <c r="AT673" s="289">
        <f t="shared" ca="1" si="1385"/>
        <v>127.47</v>
      </c>
      <c r="AU673" s="289">
        <f t="shared" ca="1" si="1385"/>
        <v>79.44</v>
      </c>
      <c r="AV673" s="289">
        <f t="shared" ca="1" si="1385"/>
        <v>125.45999999999999</v>
      </c>
      <c r="AW673" s="289">
        <f t="shared" ca="1" si="1385"/>
        <v>129.47</v>
      </c>
      <c r="AX673" s="289">
        <f ca="1" t="shared" si="1386" ref="AX673:BJ673">IF(OR(MO.RealTimeStockPriceToggle=FALSE,VLOOKUP(MO.DataSourceName,MO_SPT_StockLow_Sources,COLUMN(),FALSE)="N/A"),VLOOKUP("Real-Time Off Source",MO_SPT_StockLow_Sources,COLUMN(),FALSE),VLOOKUP(MO.DataSourceName,MO_SPT_StockLow_Sources,COLUMN(),FALSE))</f>
        <v>120.06</v>
      </c>
      <c r="AY673" s="289">
        <f t="shared" ca="1" si="1386"/>
        <v>125.12</v>
      </c>
      <c r="AZ673" s="289">
        <f t="shared" ca="1" si="1386"/>
        <v>120.06</v>
      </c>
      <c r="BA673" s="289">
        <f ca="1" t="shared" si="1387" ref="BA673:BI673">IF(OR(MO.RealTimeStockPriceToggle=FALSE,VLOOKUP(MO.DataSourceName,MO_SPT_StockLow_Sources,COLUMN(),FALSE)="N/A"),VLOOKUP("Real-Time Off Source",MO_SPT_StockLow_Sources,COLUMN(),FALSE),VLOOKUP(MO.DataSourceName,MO_SPT_StockLow_Sources,COLUMN(),FALSE))</f>
        <v>115.95999999999999</v>
      </c>
      <c r="BB673" s="289">
        <f t="shared" ca="1" si="1387"/>
        <v>112.27</v>
      </c>
      <c r="BC673" s="289">
        <f t="shared" ca="1" si="1387"/>
        <v>108.81</v>
      </c>
      <c r="BD673" s="289">
        <f t="shared" ca="1" si="1387"/>
        <v>106.09</v>
      </c>
      <c r="BE673" s="289">
        <f t="shared" ca="1" si="1387"/>
        <v>106.09</v>
      </c>
      <c r="BF673" s="289">
        <f ca="1">IF(OR(MO.RealTimeStockPriceToggle=FALSE,VLOOKUP(MO.DataSourceName,MO_SPT_StockLow_Sources,COLUMN(),FALSE)="N/A"),VLOOKUP("Real-Time Off Source",MO_SPT_StockLow_Sources,COLUMN(),FALSE),VLOOKUP(MO.DataSourceName,MO_SPT_StockLow_Sources,COLUMN(),FALSE))</f>
        <v>114.347449</v>
      </c>
      <c r="BG673" s="289">
        <f ca="1">IF(OR(MO.RealTimeStockPriceToggle=FALSE,VLOOKUP(MO.DataSourceName,MO_SPT_StockLow_Sources,COLUMN(),FALSE)="N/A"),VLOOKUP("Real-Time Off Source",MO_SPT_StockLow_Sources,COLUMN(),FALSE),VLOOKUP(MO.DataSourceName,MO_SPT_StockLow_Sources,COLUMN(),FALSE))</f>
        <v>123.02</v>
      </c>
      <c r="BH673" s="266">
        <f ca="1">IF(OR(MO.RealTimeStockPriceToggle=FALSE,VLOOKUP(MO.DataSourceName,MO_SPT_StockLow_Sources,COLUMN(),FALSE)="N/A"),VLOOKUP("Real-Time Off Source",MO_SPT_StockLow_Sources,COLUMN(),FALSE),VLOOKUP(MO.DataSourceName,MO_SPT_StockLow_Sources,COLUMN(),FALSE))</f>
        <v>116.279815</v>
      </c>
      <c r="BI673" s="257">
        <f t="shared" ca="1" si="1387"/>
        <v>0</v>
      </c>
      <c r="BJ673" s="257">
        <f t="shared" ca="1" si="1386"/>
        <v>0</v>
      </c>
      <c r="BK673" s="257">
        <f ca="1" t="shared" si="1388" ref="BK673:BR673">IF(OR(MO.RealTimeStockPriceToggle=FALSE,VLOOKUP(MO.DataSourceName,MO_SPT_StockLow_Sources,COLUMN(),FALSE)="N/A"),VLOOKUP("Real-Time Off Source",MO_SPT_StockLow_Sources,COLUMN(),FALSE),VLOOKUP(MO.DataSourceName,MO_SPT_StockLow_Sources,COLUMN(),FALSE))</f>
        <v>0</v>
      </c>
      <c r="BL673" s="257">
        <f t="shared" ca="1" si="1388"/>
        <v>0</v>
      </c>
      <c r="BM673" s="257">
        <f t="shared" ca="1" si="1388"/>
        <v>0</v>
      </c>
      <c r="BN673" s="257">
        <f t="shared" ca="1" si="1388"/>
        <v>0</v>
      </c>
      <c r="BO673" s="257">
        <f t="shared" ca="1" si="1388"/>
        <v>0</v>
      </c>
      <c r="BP673" s="289">
        <f t="shared" ca="1" si="1388"/>
        <v>0</v>
      </c>
      <c r="BQ673" s="289">
        <f t="shared" ca="1" si="1388"/>
        <v>0</v>
      </c>
      <c r="BR673" s="258">
        <f t="shared" ca="1" si="1388"/>
        <v>0</v>
      </c>
      <c r="BS673" s="371"/>
    </row>
    <row r="674" spans="1:71" s="690" customFormat="1" ht="15" hidden="1" outlineLevel="1">
      <c r="A674" s="259" t="s">
        <v>395</v>
      </c>
      <c r="B674" s="257"/>
      <c r="C674" s="1097">
        <v>12.77</v>
      </c>
      <c r="D674" s="1097">
        <v>23.90</v>
      </c>
      <c r="E674" s="1098">
        <v>29.45</v>
      </c>
      <c r="F674" s="1098">
        <v>36.24</v>
      </c>
      <c r="G674" s="1098">
        <v>39.76</v>
      </c>
      <c r="H674" s="1098">
        <v>52.89</v>
      </c>
      <c r="I674" s="1098">
        <v>55.49</v>
      </c>
      <c r="J674" s="1098">
        <v>55.57</v>
      </c>
      <c r="K674" s="1098">
        <v>54.63</v>
      </c>
      <c r="L674" s="1098">
        <v>52.89</v>
      </c>
      <c r="M674" s="1098">
        <v>57.50</v>
      </c>
      <c r="N674" s="1098">
        <v>62.98</v>
      </c>
      <c r="O674" s="1098">
        <v>65.430000000000007</v>
      </c>
      <c r="P674" s="1098">
        <v>67.39</v>
      </c>
      <c r="Q674" s="1098">
        <v>57.50</v>
      </c>
      <c r="R674" s="1098">
        <v>64.870000000000005</v>
      </c>
      <c r="S674" s="1098">
        <v>66.78</v>
      </c>
      <c r="T674" s="1098">
        <v>70.819999999999993</v>
      </c>
      <c r="U674" s="1098">
        <v>73.379999999999995</v>
      </c>
      <c r="V674" s="1098">
        <v>64.870000000000005</v>
      </c>
      <c r="W674" s="1098">
        <v>85.57</v>
      </c>
      <c r="X674" s="1098">
        <v>93.25</v>
      </c>
      <c r="Y674" s="1098">
        <v>95.19</v>
      </c>
      <c r="Z674" s="1098">
        <v>101.02</v>
      </c>
      <c r="AA674" s="1098">
        <v>85.57</v>
      </c>
      <c r="AB674" s="1098">
        <v>101.63500000000001</v>
      </c>
      <c r="AC674" s="1098">
        <v>103.08159999999999</v>
      </c>
      <c r="AD674" s="1098">
        <v>102.9354</v>
      </c>
      <c r="AE674" s="1098">
        <v>84.914699999999996</v>
      </c>
      <c r="AF674" s="1098">
        <v>84.914699999999996</v>
      </c>
      <c r="AG674" s="1098">
        <v>89.10</v>
      </c>
      <c r="AH674" s="1098">
        <v>95.88</v>
      </c>
      <c r="AI674" s="1098">
        <v>97.88</v>
      </c>
      <c r="AJ674" s="1098">
        <v>100.52</v>
      </c>
      <c r="AK674" s="1098">
        <v>89.10</v>
      </c>
      <c r="AL674" s="1098">
        <v>46.98</v>
      </c>
      <c r="AM674" s="1098">
        <v>54.44</v>
      </c>
      <c r="AN674" s="1098">
        <v>56.83</v>
      </c>
      <c r="AO674" s="1098">
        <v>68.95</v>
      </c>
      <c r="AP674" s="1098">
        <v>46.98</v>
      </c>
      <c r="AQ674" s="1098">
        <v>79.44</v>
      </c>
      <c r="AR674" s="1098">
        <v>113.94</v>
      </c>
      <c r="AS674" s="1098">
        <v>120</v>
      </c>
      <c r="AT674" s="1098">
        <v>127.47</v>
      </c>
      <c r="AU674" s="1098">
        <v>79.44</v>
      </c>
      <c r="AV674" s="1098">
        <v>125.45999999999999</v>
      </c>
      <c r="AW674" s="1098">
        <v>129.47</v>
      </c>
      <c r="AX674" s="1098">
        <v>120.06</v>
      </c>
      <c r="AY674" s="1098">
        <v>125.12</v>
      </c>
      <c r="AZ674" s="1098">
        <v>120.06</v>
      </c>
      <c r="BA674" s="1098">
        <v>115.95999999999999</v>
      </c>
      <c r="BB674" s="1098">
        <v>112.27</v>
      </c>
      <c r="BC674" s="1098">
        <v>108.81</v>
      </c>
      <c r="BD674" s="1098">
        <v>106.09</v>
      </c>
      <c r="BE674" s="1098">
        <v>106.09</v>
      </c>
      <c r="BF674" s="1098">
        <v>114.347449</v>
      </c>
      <c r="BG674" s="1098">
        <v>123.02</v>
      </c>
      <c r="BH674" s="1099">
        <v>116.279815</v>
      </c>
      <c r="BI674" s="257"/>
      <c r="BJ674" s="257"/>
      <c r="BK674" s="257"/>
      <c r="BL674" s="257"/>
      <c r="BM674" s="257"/>
      <c r="BN674" s="257"/>
      <c r="BO674" s="257"/>
      <c r="BP674" s="289"/>
      <c r="BQ674" s="289"/>
      <c r="BR674" s="258"/>
      <c r="BS674" s="371"/>
    </row>
    <row r="675" spans="1:71" s="690" customFormat="1" ht="15" hidden="1" outlineLevel="1">
      <c r="A675" s="259" t="s">
        <v>7</v>
      </c>
      <c r="B675" s="257"/>
      <c r="C675" s="436" t="str">
        <f ca="1">IFERROR(_xll.BDP(MO.Ticker.Bloomberg&amp;" Equity","INTERVAL_LOW","MARKET_DATA_OVERRIDE=PX_LAST","START_DATE_OVERRIDE",TEXT(INDEX(MO_SNA_FPStartDate,0,COLUMN()),"YYYYMMDD"),"END_DATE_OVERRIDE",TEXT(INDEX(MO_Common_QEndDate,0,COLUMN()),"YYYYMMDD")),"N/A")</f>
        <v>N/A</v>
      </c>
      <c r="D675" s="436" t="str">
        <f ca="1">IFERROR(_xll.BDP(MO.Ticker.Bloomberg&amp;" Equity","INTERVAL_LOW","MARKET_DATA_OVERRIDE=PX_LAST","START_DATE_OVERRIDE",TEXT(INDEX(MO_SNA_FPStartDate,0,COLUMN()),"YYYYMMDD"),"END_DATE_OVERRIDE",TEXT(INDEX(MO_Common_QEndDate,0,COLUMN()),"YYYYMMDD")),"N/A")</f>
        <v>N/A</v>
      </c>
      <c r="E675" s="289" t="str">
        <f ca="1">IFERROR(_xll.BDP(MO.Ticker.Bloomberg&amp;" Equity","INTERVAL_LOW","MARKET_DATA_OVERRIDE=PX_LAST","START_DATE_OVERRIDE",TEXT(INDEX(MO_SNA_FPStartDate,0,COLUMN()),"YYYYMMDD"),"END_DATE_OVERRIDE",TEXT(INDEX(MO_Common_QEndDate,0,COLUMN()),"YYYYMMDD")),"N/A")</f>
        <v>N/A</v>
      </c>
      <c r="F675" s="289" t="str">
        <f ca="1">IFERROR(_xll.BDP(MO.Ticker.Bloomberg&amp;" Equity","INTERVAL_LOW","MARKET_DATA_OVERRIDE=PX_LAST","START_DATE_OVERRIDE",TEXT(INDEX(MO_SNA_FPStartDate,0,COLUMN()),"YYYYMMDD"),"END_DATE_OVERRIDE",TEXT(INDEX(MO_Common_QEndDate,0,COLUMN()),"YYYYMMDD")),"N/A")</f>
        <v>N/A</v>
      </c>
      <c r="G675" s="289" t="str">
        <f ca="1">IFERROR(_xll.BDP(MO.Ticker.Bloomberg&amp;" Equity","INTERVAL_LOW","MARKET_DATA_OVERRIDE=PX_LAST","START_DATE_OVERRIDE",TEXT(INDEX(MO_SNA_FPStartDate,0,COLUMN()),"YYYYMMDD"),"END_DATE_OVERRIDE",TEXT(INDEX(MO_Common_QEndDate,0,COLUMN()),"YYYYMMDD")),"N/A")</f>
        <v>N/A</v>
      </c>
      <c r="H675" s="289" t="str">
        <f ca="1">IFERROR(_xll.BDP(MO.Ticker.Bloomberg&amp;" Equity","INTERVAL_LOW","MARKET_DATA_OVERRIDE=PX_LAST","START_DATE_OVERRIDE",TEXT(INDEX(MO_SNA_FPStartDate,0,COLUMN()),"YYYYMMDD"),"END_DATE_OVERRIDE",TEXT(INDEX(MO_Common_QEndDate,0,COLUMN()),"YYYYMMDD")),"N/A")</f>
        <v>N/A</v>
      </c>
      <c r="I675" s="289" t="str">
        <f ca="1">IFERROR(_xll.BDP(MO.Ticker.Bloomberg&amp;" Equity","INTERVAL_LOW","MARKET_DATA_OVERRIDE=PX_LAST","START_DATE_OVERRIDE",TEXT(INDEX(MO_SNA_FPStartDate,0,COLUMN()),"YYYYMMDD"),"END_DATE_OVERRIDE",TEXT(INDEX(MO_Common_QEndDate,0,COLUMN()),"YYYYMMDD")),"N/A")</f>
        <v>N/A</v>
      </c>
      <c r="J675" s="289" t="str">
        <f ca="1">IFERROR(_xll.BDP(MO.Ticker.Bloomberg&amp;" Equity","INTERVAL_LOW","MARKET_DATA_OVERRIDE=PX_LAST","START_DATE_OVERRIDE",TEXT(INDEX(MO_SNA_FPStartDate,0,COLUMN()),"YYYYMMDD"),"END_DATE_OVERRIDE",TEXT(INDEX(MO_Common_QEndDate,0,COLUMN()),"YYYYMMDD")),"N/A")</f>
        <v>N/A</v>
      </c>
      <c r="K675" s="289" t="str">
        <f ca="1">IFERROR(_xll.BDP(MO.Ticker.Bloomberg&amp;" Equity","INTERVAL_LOW","MARKET_DATA_OVERRIDE=PX_LAST","START_DATE_OVERRIDE",TEXT(INDEX(MO_SNA_FPStartDate,0,COLUMN()),"YYYYMMDD"),"END_DATE_OVERRIDE",TEXT(INDEX(MO_Common_QEndDate,0,COLUMN()),"YYYYMMDD")),"N/A")</f>
        <v>N/A</v>
      </c>
      <c r="L675" s="289" t="str">
        <f ca="1">IFERROR(_xll.BDP(MO.Ticker.Bloomberg&amp;" Equity","INTERVAL_LOW","MARKET_DATA_OVERRIDE=PX_LAST","START_DATE_OVERRIDE",TEXT(INDEX(MO_SNA_FPStartDate,0,COLUMN()),"YYYYMMDD"),"END_DATE_OVERRIDE",TEXT(INDEX(MO_Common_QEndDate,0,COLUMN()),"YYYYMMDD")),"N/A")</f>
        <v>N/A</v>
      </c>
      <c r="M675" s="289" t="str">
        <f ca="1">IFERROR(_xll.BDP(MO.Ticker.Bloomberg&amp;" Equity","INTERVAL_LOW","MARKET_DATA_OVERRIDE=PX_LAST","START_DATE_OVERRIDE",TEXT(INDEX(MO_SNA_FPStartDate,0,COLUMN()),"YYYYMMDD"),"END_DATE_OVERRIDE",TEXT(INDEX(MO_Common_QEndDate,0,COLUMN()),"YYYYMMDD")),"N/A")</f>
        <v>N/A</v>
      </c>
      <c r="N675" s="289" t="str">
        <f ca="1">IFERROR(_xll.BDP(MO.Ticker.Bloomberg&amp;" Equity","INTERVAL_LOW","MARKET_DATA_OVERRIDE=PX_LAST","START_DATE_OVERRIDE",TEXT(INDEX(MO_SNA_FPStartDate,0,COLUMN()),"YYYYMMDD"),"END_DATE_OVERRIDE",TEXT(INDEX(MO_Common_QEndDate,0,COLUMN()),"YYYYMMDD")),"N/A")</f>
        <v>N/A</v>
      </c>
      <c r="O675" s="289" t="str">
        <f ca="1">IFERROR(_xll.BDP(MO.Ticker.Bloomberg&amp;" Equity","INTERVAL_LOW","MARKET_DATA_OVERRIDE=PX_LAST","START_DATE_OVERRIDE",TEXT(INDEX(MO_SNA_FPStartDate,0,COLUMN()),"YYYYMMDD"),"END_DATE_OVERRIDE",TEXT(INDEX(MO_Common_QEndDate,0,COLUMN()),"YYYYMMDD")),"N/A")</f>
        <v>N/A</v>
      </c>
      <c r="P675" s="289" t="str">
        <f ca="1">IFERROR(_xll.BDP(MO.Ticker.Bloomberg&amp;" Equity","INTERVAL_LOW","MARKET_DATA_OVERRIDE=PX_LAST","START_DATE_OVERRIDE",TEXT(INDEX(MO_SNA_FPStartDate,0,COLUMN()),"YYYYMMDD"),"END_DATE_OVERRIDE",TEXT(INDEX(MO_Common_QEndDate,0,COLUMN()),"YYYYMMDD")),"N/A")</f>
        <v>N/A</v>
      </c>
      <c r="Q675" s="289" t="str">
        <f ca="1">IFERROR(_xll.BDP(MO.Ticker.Bloomberg&amp;" Equity","INTERVAL_LOW","MARKET_DATA_OVERRIDE=PX_LAST","START_DATE_OVERRIDE",TEXT(INDEX(MO_SNA_FPStartDate,0,COLUMN()),"YYYYMMDD"),"END_DATE_OVERRIDE",TEXT(INDEX(MO_Common_QEndDate,0,COLUMN()),"YYYYMMDD")),"N/A")</f>
        <v>N/A</v>
      </c>
      <c r="R675" s="289" t="str">
        <f ca="1">IFERROR(_xll.BDP(MO.Ticker.Bloomberg&amp;" Equity","INTERVAL_LOW","MARKET_DATA_OVERRIDE=PX_LAST","START_DATE_OVERRIDE",TEXT(INDEX(MO_SNA_FPStartDate,0,COLUMN()),"YYYYMMDD"),"END_DATE_OVERRIDE",TEXT(INDEX(MO_Common_QEndDate,0,COLUMN()),"YYYYMMDD")),"N/A")</f>
        <v>N/A</v>
      </c>
      <c r="S675" s="289" t="str">
        <f ca="1">IFERROR(_xll.BDP(MO.Ticker.Bloomberg&amp;" Equity","INTERVAL_LOW","MARKET_DATA_OVERRIDE=PX_LAST","START_DATE_OVERRIDE",TEXT(INDEX(MO_SNA_FPStartDate,0,COLUMN()),"YYYYMMDD"),"END_DATE_OVERRIDE",TEXT(INDEX(MO_Common_QEndDate,0,COLUMN()),"YYYYMMDD")),"N/A")</f>
        <v>N/A</v>
      </c>
      <c r="T675" s="289" t="str">
        <f ca="1">IFERROR(_xll.BDP(MO.Ticker.Bloomberg&amp;" Equity","INTERVAL_LOW","MARKET_DATA_OVERRIDE=PX_LAST","START_DATE_OVERRIDE",TEXT(INDEX(MO_SNA_FPStartDate,0,COLUMN()),"YYYYMMDD"),"END_DATE_OVERRIDE",TEXT(INDEX(MO_Common_QEndDate,0,COLUMN()),"YYYYMMDD")),"N/A")</f>
        <v>N/A</v>
      </c>
      <c r="U675" s="289" t="str">
        <f ca="1">IFERROR(_xll.BDP(MO.Ticker.Bloomberg&amp;" Equity","INTERVAL_LOW","MARKET_DATA_OVERRIDE=PX_LAST","START_DATE_OVERRIDE",TEXT(INDEX(MO_SNA_FPStartDate,0,COLUMN()),"YYYYMMDD"),"END_DATE_OVERRIDE",TEXT(INDEX(MO_Common_QEndDate,0,COLUMN()),"YYYYMMDD")),"N/A")</f>
        <v>N/A</v>
      </c>
      <c r="V675" s="289" t="str">
        <f ca="1">IFERROR(_xll.BDP(MO.Ticker.Bloomberg&amp;" Equity","INTERVAL_LOW","MARKET_DATA_OVERRIDE=PX_LAST","START_DATE_OVERRIDE",TEXT(INDEX(MO_SNA_FPStartDate,0,COLUMN()),"YYYYMMDD"),"END_DATE_OVERRIDE",TEXT(INDEX(MO_Common_QEndDate,0,COLUMN()),"YYYYMMDD")),"N/A")</f>
        <v>N/A</v>
      </c>
      <c r="W675" s="289" t="str">
        <f ca="1">IFERROR(_xll.BDP(MO.Ticker.Bloomberg&amp;" Equity","INTERVAL_LOW","MARKET_DATA_OVERRIDE=PX_LAST","START_DATE_OVERRIDE",TEXT(INDEX(MO_SNA_FPStartDate,0,COLUMN()),"YYYYMMDD"),"END_DATE_OVERRIDE",TEXT(INDEX(MO_Common_QEndDate,0,COLUMN()),"YYYYMMDD")),"N/A")</f>
        <v>N/A</v>
      </c>
      <c r="X675" s="289" t="str">
        <f ca="1">IFERROR(_xll.BDP(MO.Ticker.Bloomberg&amp;" Equity","INTERVAL_LOW","MARKET_DATA_OVERRIDE=PX_LAST","START_DATE_OVERRIDE",TEXT(INDEX(MO_SNA_FPStartDate,0,COLUMN()),"YYYYMMDD"),"END_DATE_OVERRIDE",TEXT(INDEX(MO_Common_QEndDate,0,COLUMN()),"YYYYMMDD")),"N/A")</f>
        <v>N/A</v>
      </c>
      <c r="Y675" s="289" t="str">
        <f ca="1">IFERROR(_xll.BDP(MO.Ticker.Bloomberg&amp;" Equity","INTERVAL_LOW","MARKET_DATA_OVERRIDE=PX_LAST","START_DATE_OVERRIDE",TEXT(INDEX(MO_SNA_FPStartDate,0,COLUMN()),"YYYYMMDD"),"END_DATE_OVERRIDE",TEXT(INDEX(MO_Common_QEndDate,0,COLUMN()),"YYYYMMDD")),"N/A")</f>
        <v>N/A</v>
      </c>
      <c r="Z675" s="289" t="str">
        <f ca="1">IFERROR(_xll.BDP(MO.Ticker.Bloomberg&amp;" Equity","INTERVAL_LOW","MARKET_DATA_OVERRIDE=PX_LAST","START_DATE_OVERRIDE",TEXT(INDEX(MO_SNA_FPStartDate,0,COLUMN()),"YYYYMMDD"),"END_DATE_OVERRIDE",TEXT(INDEX(MO_Common_QEndDate,0,COLUMN()),"YYYYMMDD")),"N/A")</f>
        <v>N/A</v>
      </c>
      <c r="AA675" s="289" t="str">
        <f ca="1">IFERROR(_xll.BDP(MO.Ticker.Bloomberg&amp;" Equity","INTERVAL_LOW","MARKET_DATA_OVERRIDE=PX_LAST","START_DATE_OVERRIDE",TEXT(INDEX(MO_SNA_FPStartDate,0,COLUMN()),"YYYYMMDD"),"END_DATE_OVERRIDE",TEXT(INDEX(MO_Common_QEndDate,0,COLUMN()),"YYYYMMDD")),"N/A")</f>
        <v>N/A</v>
      </c>
      <c r="AB675" s="289" t="str">
        <f ca="1">IFERROR(_xll.BDP(MO.Ticker.Bloomberg&amp;" Equity","INTERVAL_LOW","MARKET_DATA_OVERRIDE=PX_LAST","START_DATE_OVERRIDE",TEXT(INDEX(MO_SNA_FPStartDate,0,COLUMN()),"YYYYMMDD"),"END_DATE_OVERRIDE",TEXT(INDEX(MO_Common_QEndDate,0,COLUMN()),"YYYYMMDD")),"N/A")</f>
        <v>N/A</v>
      </c>
      <c r="AC675" s="289" t="str">
        <f ca="1">IFERROR(_xll.BDP(MO.Ticker.Bloomberg&amp;" Equity","INTERVAL_LOW","MARKET_DATA_OVERRIDE=PX_LAST","START_DATE_OVERRIDE",TEXT(INDEX(MO_SNA_FPStartDate,0,COLUMN()),"YYYYMMDD"),"END_DATE_OVERRIDE",TEXT(INDEX(MO_Common_QEndDate,0,COLUMN()),"YYYYMMDD")),"N/A")</f>
        <v>N/A</v>
      </c>
      <c r="AD675" s="289" t="str">
        <f ca="1">IFERROR(_xll.BDP(MO.Ticker.Bloomberg&amp;" Equity","INTERVAL_LOW","MARKET_DATA_OVERRIDE=PX_LAST","START_DATE_OVERRIDE",TEXT(INDEX(MO_SNA_FPStartDate,0,COLUMN()),"YYYYMMDD"),"END_DATE_OVERRIDE",TEXT(INDEX(MO_Common_QEndDate,0,COLUMN()),"YYYYMMDD")),"N/A")</f>
        <v>N/A</v>
      </c>
      <c r="AE675" s="289" t="str">
        <f ca="1">IFERROR(_xll.BDP(MO.Ticker.Bloomberg&amp;" Equity","INTERVAL_LOW","MARKET_DATA_OVERRIDE=PX_LAST","START_DATE_OVERRIDE",TEXT(INDEX(MO_SNA_FPStartDate,0,COLUMN()),"YYYYMMDD"),"END_DATE_OVERRIDE",TEXT(INDEX(MO_Common_QEndDate,0,COLUMN()),"YYYYMMDD")),"N/A")</f>
        <v>N/A</v>
      </c>
      <c r="AF675" s="289" t="str">
        <f ca="1">IFERROR(_xll.BDP(MO.Ticker.Bloomberg&amp;" Equity","INTERVAL_LOW","MARKET_DATA_OVERRIDE=PX_LAST","START_DATE_OVERRIDE",TEXT(INDEX(MO_SNA_FPStartDate,0,COLUMN()),"YYYYMMDD"),"END_DATE_OVERRIDE",TEXT(INDEX(MO_Common_QEndDate,0,COLUMN()),"YYYYMMDD")),"N/A")</f>
        <v>N/A</v>
      </c>
      <c r="AG675" s="289" t="str">
        <f ca="1">IFERROR(_xll.BDP(MO.Ticker.Bloomberg&amp;" Equity","INTERVAL_LOW","MARKET_DATA_OVERRIDE=PX_LAST","START_DATE_OVERRIDE",TEXT(INDEX(MO_SNA_FPStartDate,0,COLUMN()),"YYYYMMDD"),"END_DATE_OVERRIDE",TEXT(INDEX(MO_Common_QEndDate,0,COLUMN()),"YYYYMMDD")),"N/A")</f>
        <v>N/A</v>
      </c>
      <c r="AH675" s="289" t="str">
        <f ca="1">IFERROR(_xll.BDP(MO.Ticker.Bloomberg&amp;" Equity","INTERVAL_LOW","MARKET_DATA_OVERRIDE=PX_LAST","START_DATE_OVERRIDE",TEXT(INDEX(MO_SNA_FPStartDate,0,COLUMN()),"YYYYMMDD"),"END_DATE_OVERRIDE",TEXT(INDEX(MO_Common_QEndDate,0,COLUMN()),"YYYYMMDD")),"N/A")</f>
        <v>N/A</v>
      </c>
      <c r="AI675" s="289" t="str">
        <f ca="1">IFERROR(_xll.BDP(MO.Ticker.Bloomberg&amp;" Equity","INTERVAL_LOW","MARKET_DATA_OVERRIDE=PX_LAST","START_DATE_OVERRIDE",TEXT(INDEX(MO_SNA_FPStartDate,0,COLUMN()),"YYYYMMDD"),"END_DATE_OVERRIDE",TEXT(INDEX(MO_Common_QEndDate,0,COLUMN()),"YYYYMMDD")),"N/A")</f>
        <v>N/A</v>
      </c>
      <c r="AJ675" s="289" t="str">
        <f ca="1">IFERROR(_xll.BDP(MO.Ticker.Bloomberg&amp;" Equity","INTERVAL_LOW","MARKET_DATA_OVERRIDE=PX_LAST","START_DATE_OVERRIDE",TEXT(INDEX(MO_SNA_FPStartDate,0,COLUMN()),"YYYYMMDD"),"END_DATE_OVERRIDE",TEXT(INDEX(MO_Common_QEndDate,0,COLUMN()),"YYYYMMDD")),"N/A")</f>
        <v>N/A</v>
      </c>
      <c r="AK675" s="289" t="str">
        <f ca="1">IFERROR(_xll.BDP(MO.Ticker.Bloomberg&amp;" Equity","INTERVAL_LOW","MARKET_DATA_OVERRIDE=PX_LAST","START_DATE_OVERRIDE",TEXT(INDEX(MO_SNA_FPStartDate,0,COLUMN()),"YYYYMMDD"),"END_DATE_OVERRIDE",TEXT(INDEX(MO_Common_QEndDate,0,COLUMN()),"YYYYMMDD")),"N/A")</f>
        <v>N/A</v>
      </c>
      <c r="AL675" s="289" t="str">
        <f ca="1">IFERROR(_xll.BDP(MO.Ticker.Bloomberg&amp;" Equity","INTERVAL_LOW","MARKET_DATA_OVERRIDE=PX_LAST","START_DATE_OVERRIDE",TEXT(INDEX(MO_SNA_FPStartDate,0,COLUMN()),"YYYYMMDD"),"END_DATE_OVERRIDE",TEXT(INDEX(MO_Common_QEndDate,0,COLUMN()),"YYYYMMDD")),"N/A")</f>
        <v>N/A</v>
      </c>
      <c r="AM675" s="289" t="str">
        <f ca="1">IFERROR(_xll.BDP(MO.Ticker.Bloomberg&amp;" Equity","INTERVAL_LOW","MARKET_DATA_OVERRIDE=PX_LAST","START_DATE_OVERRIDE",TEXT(INDEX(MO_SNA_FPStartDate,0,COLUMN()),"YYYYMMDD"),"END_DATE_OVERRIDE",TEXT(INDEX(MO_Common_QEndDate,0,COLUMN()),"YYYYMMDD")),"N/A")</f>
        <v>N/A</v>
      </c>
      <c r="AN675" s="289" t="str">
        <f ca="1">IFERROR(_xll.BDP(MO.Ticker.Bloomberg&amp;" Equity","INTERVAL_LOW","MARKET_DATA_OVERRIDE=PX_LAST","START_DATE_OVERRIDE",TEXT(INDEX(MO_SNA_FPStartDate,0,COLUMN()),"YYYYMMDD"),"END_DATE_OVERRIDE",TEXT(INDEX(MO_Common_QEndDate,0,COLUMN()),"YYYYMMDD")),"N/A")</f>
        <v>N/A</v>
      </c>
      <c r="AO675" s="289" t="str">
        <f ca="1">IFERROR(_xll.BDP(MO.Ticker.Bloomberg&amp;" Equity","INTERVAL_LOW","MARKET_DATA_OVERRIDE=PX_LAST","START_DATE_OVERRIDE",TEXT(INDEX(MO_SNA_FPStartDate,0,COLUMN()),"YYYYMMDD"),"END_DATE_OVERRIDE",TEXT(INDEX(MO_Common_QEndDate,0,COLUMN()),"YYYYMMDD")),"N/A")</f>
        <v>N/A</v>
      </c>
      <c r="AP675" s="289" t="str">
        <f ca="1">IFERROR(_xll.BDP(MO.Ticker.Bloomberg&amp;" Equity","INTERVAL_LOW","MARKET_DATA_OVERRIDE=PX_LAST","START_DATE_OVERRIDE",TEXT(INDEX(MO_SNA_FPStartDate,0,COLUMN()),"YYYYMMDD"),"END_DATE_OVERRIDE",TEXT(INDEX(MO_Common_QEndDate,0,COLUMN()),"YYYYMMDD")),"N/A")</f>
        <v>N/A</v>
      </c>
      <c r="AQ675" s="289" t="str">
        <f ca="1">IFERROR(_xll.BDP(MO.Ticker.Bloomberg&amp;" Equity","INTERVAL_LOW","MARKET_DATA_OVERRIDE=PX_LAST","START_DATE_OVERRIDE",TEXT(INDEX(MO_SNA_FPStartDate,0,COLUMN()),"YYYYMMDD"),"END_DATE_OVERRIDE",TEXT(INDEX(MO_Common_QEndDate,0,COLUMN()),"YYYYMMDD")),"N/A")</f>
        <v>N/A</v>
      </c>
      <c r="AR675" s="289" t="str">
        <f ca="1">IFERROR(_xll.BDP(MO.Ticker.Bloomberg&amp;" Equity","INTERVAL_LOW","MARKET_DATA_OVERRIDE=PX_LAST","START_DATE_OVERRIDE",TEXT(INDEX(MO_SNA_FPStartDate,0,COLUMN()),"YYYYMMDD"),"END_DATE_OVERRIDE",TEXT(INDEX(MO_Common_QEndDate,0,COLUMN()),"YYYYMMDD")),"N/A")</f>
        <v>N/A</v>
      </c>
      <c r="AS675" s="289" t="str">
        <f ca="1">IFERROR(_xll.BDP(MO.Ticker.Bloomberg&amp;" Equity","INTERVAL_LOW","MARKET_DATA_OVERRIDE=PX_LAST","START_DATE_OVERRIDE",TEXT(INDEX(MO_SNA_FPStartDate,0,COLUMN()),"YYYYMMDD"),"END_DATE_OVERRIDE",TEXT(INDEX(MO_Common_QEndDate,0,COLUMN()),"YYYYMMDD")),"N/A")</f>
        <v>N/A</v>
      </c>
      <c r="AT675" s="289" t="str">
        <f ca="1">IFERROR(_xll.BDP(MO.Ticker.Bloomberg&amp;" Equity","INTERVAL_LOW","MARKET_DATA_OVERRIDE=PX_LAST","START_DATE_OVERRIDE",TEXT(INDEX(MO_SNA_FPStartDate,0,COLUMN()),"YYYYMMDD"),"END_DATE_OVERRIDE",TEXT(INDEX(MO_Common_QEndDate,0,COLUMN()),"YYYYMMDD")),"N/A")</f>
        <v>N/A</v>
      </c>
      <c r="AU675" s="289" t="str">
        <f ca="1">IFERROR(_xll.BDP(MO.Ticker.Bloomberg&amp;" Equity","INTERVAL_LOW","MARKET_DATA_OVERRIDE=PX_LAST","START_DATE_OVERRIDE",TEXT(INDEX(MO_SNA_FPStartDate,0,COLUMN()),"YYYYMMDD"),"END_DATE_OVERRIDE",TEXT(INDEX(MO_Common_QEndDate,0,COLUMN()),"YYYYMMDD")),"N/A")</f>
        <v>N/A</v>
      </c>
      <c r="AV675" s="289" t="str">
        <f ca="1">IFERROR(_xll.BDP(MO.Ticker.Bloomberg&amp;" Equity","INTERVAL_LOW","MARKET_DATA_OVERRIDE=PX_LAST","START_DATE_OVERRIDE",TEXT(INDEX(MO_SNA_FPStartDate,0,COLUMN()),"YYYYMMDD"),"END_DATE_OVERRIDE",TEXT(INDEX(MO_Common_QEndDate,0,COLUMN()),"YYYYMMDD")),"N/A")</f>
        <v>N/A</v>
      </c>
      <c r="AW675" s="289" t="str">
        <f ca="1">IFERROR(_xll.BDP(MO.Ticker.Bloomberg&amp;" Equity","INTERVAL_LOW","MARKET_DATA_OVERRIDE=PX_LAST","START_DATE_OVERRIDE",TEXT(INDEX(MO_SNA_FPStartDate,0,COLUMN()),"YYYYMMDD"),"END_DATE_OVERRIDE",TEXT(INDEX(MO_Common_QEndDate,0,COLUMN()),"YYYYMMDD")),"N/A")</f>
        <v>N/A</v>
      </c>
      <c r="AX675" s="289" t="str">
        <f ca="1">IFERROR(_xll.BDP(MO.Ticker.Bloomberg&amp;" Equity","INTERVAL_LOW","MARKET_DATA_OVERRIDE=PX_LAST","START_DATE_OVERRIDE",TEXT(INDEX(MO_SNA_FPStartDate,0,COLUMN()),"YYYYMMDD"),"END_DATE_OVERRIDE",TEXT(INDEX(MO_Common_QEndDate,0,COLUMN()),"YYYYMMDD")),"N/A")</f>
        <v>N/A</v>
      </c>
      <c r="AY675" s="289" t="str">
        <f ca="1">IFERROR(_xll.BDP(MO.Ticker.Bloomberg&amp;" Equity","INTERVAL_LOW","MARKET_DATA_OVERRIDE=PX_LAST","START_DATE_OVERRIDE",TEXT(INDEX(MO_SNA_FPStartDate,0,COLUMN()),"YYYYMMDD"),"END_DATE_OVERRIDE",TEXT(INDEX(MO_Common_QEndDate,0,COLUMN()),"YYYYMMDD")),"N/A")</f>
        <v>N/A</v>
      </c>
      <c r="AZ675" s="289" t="str">
        <f ca="1">IFERROR(_xll.BDP(MO.Ticker.Bloomberg&amp;" Equity","INTERVAL_LOW","MARKET_DATA_OVERRIDE=PX_LAST","START_DATE_OVERRIDE",TEXT(INDEX(MO_SNA_FPStartDate,0,COLUMN()),"YYYYMMDD"),"END_DATE_OVERRIDE",TEXT(INDEX(MO_Common_QEndDate,0,COLUMN()),"YYYYMMDD")),"N/A")</f>
        <v>N/A</v>
      </c>
      <c r="BA675" s="289" t="str">
        <f ca="1">IFERROR(_xll.BDP(MO.Ticker.Bloomberg&amp;" Equity","INTERVAL_LOW","MARKET_DATA_OVERRIDE=PX_LAST","START_DATE_OVERRIDE",TEXT(INDEX(MO_SNA_FPStartDate,0,COLUMN()),"YYYYMMDD"),"END_DATE_OVERRIDE",TEXT(INDEX(MO_Common_QEndDate,0,COLUMN()),"YYYYMMDD")),"N/A")</f>
        <v>N/A</v>
      </c>
      <c r="BB675" s="289" t="str">
        <f ca="1">IFERROR(_xll.BDP(MO.Ticker.Bloomberg&amp;" Equity","INTERVAL_LOW","MARKET_DATA_OVERRIDE=PX_LAST","START_DATE_OVERRIDE",TEXT(INDEX(MO_SNA_FPStartDate,0,COLUMN()),"YYYYMMDD"),"END_DATE_OVERRIDE",TEXT(INDEX(MO_Common_QEndDate,0,COLUMN()),"YYYYMMDD")),"N/A")</f>
        <v>N/A</v>
      </c>
      <c r="BC675" s="289" t="str">
        <f ca="1">IFERROR(_xll.BDP(MO.Ticker.Bloomberg&amp;" Equity","INTERVAL_LOW","MARKET_DATA_OVERRIDE=PX_LAST","START_DATE_OVERRIDE",TEXT(INDEX(MO_SNA_FPStartDate,0,COLUMN()),"YYYYMMDD"),"END_DATE_OVERRIDE",TEXT(INDEX(MO_Common_QEndDate,0,COLUMN()),"YYYYMMDD")),"N/A")</f>
        <v>N/A</v>
      </c>
      <c r="BD675" s="289" t="str">
        <f ca="1">IFERROR(_xll.BDP(MO.Ticker.Bloomberg&amp;" Equity","INTERVAL_LOW","MARKET_DATA_OVERRIDE=PX_LAST","START_DATE_OVERRIDE",TEXT(INDEX(MO_SNA_FPStartDate,0,COLUMN()),"YYYYMMDD"),"END_DATE_OVERRIDE",TEXT(INDEX(MO_Common_QEndDate,0,COLUMN()),"YYYYMMDD")),"N/A")</f>
        <v>N/A</v>
      </c>
      <c r="BE675" s="289" t="str">
        <f ca="1">IFERROR(_xll.BDP(MO.Ticker.Bloomberg&amp;" Equity","INTERVAL_LOW","MARKET_DATA_OVERRIDE=PX_LAST","START_DATE_OVERRIDE",TEXT(INDEX(MO_SNA_FPStartDate,0,COLUMN()),"YYYYMMDD"),"END_DATE_OVERRIDE",TEXT(INDEX(MO_Common_QEndDate,0,COLUMN()),"YYYYMMDD")),"N/A")</f>
        <v>N/A</v>
      </c>
      <c r="BF675" s="289" t="str">
        <f ca="1">IFERROR(_xll.BDP(MO.Ticker.Bloomberg&amp;" Equity","INTERVAL_LOW","MARKET_DATA_OVERRIDE=PX_LAST","START_DATE_OVERRIDE",TEXT(INDEX(MO_SNA_FPStartDate,0,COLUMN()),"YYYYMMDD"),"END_DATE_OVERRIDE",TEXT(INDEX(MO_Common_QEndDate,0,COLUMN()),"YYYYMMDD")),"N/A")</f>
        <v>N/A</v>
      </c>
      <c r="BG675" s="289" t="str">
        <f ca="1">IFERROR(_xll.BDP(MO.Ticker.Bloomberg&amp;" Equity","INTERVAL_LOW","MARKET_DATA_OVERRIDE=PX_LAST","START_DATE_OVERRIDE",TEXT(INDEX(MO_SNA_FPStartDate,0,COLUMN()),"YYYYMMDD"),"END_DATE_OVERRIDE",TEXT(INDEX(MO_Common_QEndDate,0,COLUMN()),"YYYYMMDD")),"N/A")</f>
        <v>N/A</v>
      </c>
      <c r="BH675" s="266" t="str">
        <f ca="1">IFERROR(_xll.BDP(MO.Ticker.Bloomberg&amp;" Equity","INTERVAL_LOW","MARKET_DATA_OVERRIDE=PX_LAST","START_DATE_OVERRIDE",TEXT(INDEX(MO_SNA_FPStartDate,0,COLUMN()),"YYYYMMDD"),"END_DATE_OVERRIDE",TEXT(INDEX(MO_Common_QEndDate,0,COLUMN()),"YYYYMMDD")),"N/A")</f>
        <v>N/A</v>
      </c>
      <c r="BI675" s="257" t="str">
        <f ca="1">IFERROR(_xll.BDP(MO.Ticker.Bloomberg&amp;" Equity","INTERVAL_LOW","MARKET_DATA_OVERRIDE=PX_LAST","START_DATE_OVERRIDE",TEXT(INDEX(MO_SNA_FPStartDate,0,COLUMN()),"YYYYMMDD"),"END_DATE_OVERRIDE",TEXT(INDEX(MO_Common_QEndDate,0,COLUMN()),"YYYYMMDD")),"N/A")</f>
        <v>N/A</v>
      </c>
      <c r="BJ675" s="257" t="str">
        <f ca="1">IFERROR(_xll.BDP(MO.Ticker.Bloomberg&amp;" Equity","INTERVAL_LOW","MARKET_DATA_OVERRIDE=PX_LAST","START_DATE_OVERRIDE",TEXT(INDEX(MO_SNA_FPStartDate,0,COLUMN()),"YYYYMMDD"),"END_DATE_OVERRIDE",TEXT(INDEX(MO_Common_QEndDate,0,COLUMN()),"YYYYMMDD")),"N/A")</f>
        <v>N/A</v>
      </c>
      <c r="BK675" s="257" t="str">
        <f ca="1">IFERROR(_xll.BDP(MO.Ticker.Bloomberg&amp;" Equity","INTERVAL_LOW","MARKET_DATA_OVERRIDE=PX_LAST","START_DATE_OVERRIDE",TEXT(INDEX(MO_SNA_FPStartDate,0,COLUMN()),"YYYYMMDD"),"END_DATE_OVERRIDE",TEXT(INDEX(MO_Common_QEndDate,0,COLUMN()),"YYYYMMDD")),"N/A")</f>
        <v>N/A</v>
      </c>
      <c r="BL675" s="257" t="str">
        <f ca="1">IFERROR(_xll.BDP(MO.Ticker.Bloomberg&amp;" Equity","INTERVAL_LOW","MARKET_DATA_OVERRIDE=PX_LAST","START_DATE_OVERRIDE",TEXT(INDEX(MO_SNA_FPStartDate,0,COLUMN()),"YYYYMMDD"),"END_DATE_OVERRIDE",TEXT(INDEX(MO_Common_QEndDate,0,COLUMN()),"YYYYMMDD")),"N/A")</f>
        <v>N/A</v>
      </c>
      <c r="BM675" s="257" t="str">
        <f ca="1">IFERROR(_xll.BDP(MO.Ticker.Bloomberg&amp;" Equity","INTERVAL_LOW","MARKET_DATA_OVERRIDE=PX_LAST","START_DATE_OVERRIDE",TEXT(INDEX(MO_SNA_FPStartDate,0,COLUMN()),"YYYYMMDD"),"END_DATE_OVERRIDE",TEXT(INDEX(MO_Common_QEndDate,0,COLUMN()),"YYYYMMDD")),"N/A")</f>
        <v>N/A</v>
      </c>
      <c r="BN675" s="257" t="str">
        <f ca="1">IFERROR(_xll.BDP(MO.Ticker.Bloomberg&amp;" Equity","INTERVAL_LOW","MARKET_DATA_OVERRIDE=PX_LAST","START_DATE_OVERRIDE",TEXT(INDEX(MO_SNA_FPStartDate,0,COLUMN()),"YYYYMMDD"),"END_DATE_OVERRIDE",TEXT(INDEX(MO_Common_QEndDate,0,COLUMN()),"YYYYMMDD")),"N/A")</f>
        <v>N/A</v>
      </c>
      <c r="BO675" s="257" t="str">
        <f ca="1">IFERROR(_xll.BDP(MO.Ticker.Bloomberg&amp;" Equity","INTERVAL_LOW","MARKET_DATA_OVERRIDE=PX_LAST","START_DATE_OVERRIDE",TEXT(INDEX(MO_SNA_FPStartDate,0,COLUMN()),"YYYYMMDD"),"END_DATE_OVERRIDE",TEXT(INDEX(MO_Common_QEndDate,0,COLUMN()),"YYYYMMDD")),"N/A")</f>
        <v>N/A</v>
      </c>
      <c r="BP675" s="289" t="str">
        <f ca="1">IFERROR(_xll.BDP(MO.Ticker.Bloomberg&amp;" Equity","INTERVAL_LOW","MARKET_DATA_OVERRIDE=PX_LAST","START_DATE_OVERRIDE",TEXT(INDEX(MO_SNA_FPStartDate,0,COLUMN()),"YYYYMMDD"),"END_DATE_OVERRIDE",TEXT(INDEX(MO_Common_QEndDate,0,COLUMN()),"YYYYMMDD")),"N/A")</f>
        <v>N/A</v>
      </c>
      <c r="BQ675" s="289" t="str">
        <f ca="1">IFERROR(_xll.BDP(MO.Ticker.Bloomberg&amp;" Equity","INTERVAL_LOW","MARKET_DATA_OVERRIDE=PX_LAST","START_DATE_OVERRIDE",TEXT(INDEX(MO_SNA_FPStartDate,0,COLUMN()),"YYYYMMDD"),"END_DATE_OVERRIDE",TEXT(INDEX(MO_Common_QEndDate,0,COLUMN()),"YYYYMMDD")),"N/A")</f>
        <v>N/A</v>
      </c>
      <c r="BR675" s="258" t="str">
        <f ca="1">IFERROR(_xll.BDP(MO.Ticker.Bloomberg&amp;" Equity","INTERVAL_LOW","MARKET_DATA_OVERRIDE=PX_LAST","START_DATE_OVERRIDE",TEXT(INDEX(MO_SNA_FPStartDate,0,COLUMN()),"YYYYMMDD"),"END_DATE_OVERRIDE",TEXT(INDEX(MO_Common_QEndDate,0,COLUMN()),"YYYYMMDD")),"N/A")</f>
        <v>N/A</v>
      </c>
      <c r="BS675" s="371"/>
    </row>
    <row r="676" spans="1:71" s="690" customFormat="1" ht="15" hidden="1" outlineLevel="1">
      <c r="A676" s="259" t="s">
        <v>396</v>
      </c>
      <c r="B676" s="257"/>
      <c r="C676" s="436" t="str">
        <f ca="1">IFERROR(CIQLO(MO.Ticker.CapIQ,"IQ_LASTSALEPRICE",INDEX(MO_SNA_FPStartDate,0,COLUMN()),INDEX(MO_Common_QEndDate,0,COLUMN())),"N/A")</f>
        <v>N/A</v>
      </c>
      <c r="D676" s="436" t="str">
        <f ca="1">IFERROR(CIQLO(MO.Ticker.CapIQ,"IQ_LASTSALEPRICE",INDEX(MO_SNA_FPStartDate,0,COLUMN()),INDEX(MO_Common_QEndDate,0,COLUMN())),"N/A")</f>
        <v>N/A</v>
      </c>
      <c r="E676" s="289" t="str">
        <f ca="1">IFERROR(CIQLO(MO.Ticker.CapIQ,"IQ_LASTSALEPRICE",INDEX(MO_SNA_FPStartDate,0,COLUMN()),INDEX(MO_Common_QEndDate,0,COLUMN())),"N/A")</f>
        <v>N/A</v>
      </c>
      <c r="F676" s="289" t="str">
        <f ca="1">IFERROR(CIQLO(MO.Ticker.CapIQ,"IQ_LASTSALEPRICE",INDEX(MO_SNA_FPStartDate,0,COLUMN()),INDEX(MO_Common_QEndDate,0,COLUMN())),"N/A")</f>
        <v>N/A</v>
      </c>
      <c r="G676" s="289" t="str">
        <f ca="1">IFERROR(CIQLO(MO.Ticker.CapIQ,"IQ_LASTSALEPRICE",INDEX(MO_SNA_FPStartDate,0,COLUMN()),INDEX(MO_Common_QEndDate,0,COLUMN())),"N/A")</f>
        <v>N/A</v>
      </c>
      <c r="H676" s="289" t="str">
        <f ca="1">IFERROR(CIQLO(MO.Ticker.CapIQ,"IQ_LASTSALEPRICE",INDEX(MO_SNA_FPStartDate,0,COLUMN()),INDEX(MO_Common_QEndDate,0,COLUMN())),"N/A")</f>
        <v>N/A</v>
      </c>
      <c r="I676" s="289" t="str">
        <f ca="1">IFERROR(CIQLO(MO.Ticker.CapIQ,"IQ_LASTSALEPRICE",INDEX(MO_SNA_FPStartDate,0,COLUMN()),INDEX(MO_Common_QEndDate,0,COLUMN())),"N/A")</f>
        <v>N/A</v>
      </c>
      <c r="J676" s="289" t="str">
        <f ca="1">IFERROR(CIQLO(MO.Ticker.CapIQ,"IQ_LASTSALEPRICE",INDEX(MO_SNA_FPStartDate,0,COLUMN()),INDEX(MO_Common_QEndDate,0,COLUMN())),"N/A")</f>
        <v>N/A</v>
      </c>
      <c r="K676" s="289" t="str">
        <f ca="1">IFERROR(CIQLO(MO.Ticker.CapIQ,"IQ_LASTSALEPRICE",INDEX(MO_SNA_FPStartDate,0,COLUMN()),INDEX(MO_Common_QEndDate,0,COLUMN())),"N/A")</f>
        <v>N/A</v>
      </c>
      <c r="L676" s="289" t="str">
        <f ca="1">IFERROR(CIQLO(MO.Ticker.CapIQ,"IQ_LASTSALEPRICE",INDEX(MO_SNA_FPStartDate,0,COLUMN()),INDEX(MO_Common_QEndDate,0,COLUMN())),"N/A")</f>
        <v>N/A</v>
      </c>
      <c r="M676" s="289" t="str">
        <f ca="1">IFERROR(CIQLO(MO.Ticker.CapIQ,"IQ_LASTSALEPRICE",INDEX(MO_SNA_FPStartDate,0,COLUMN()),INDEX(MO_Common_QEndDate,0,COLUMN())),"N/A")</f>
        <v>N/A</v>
      </c>
      <c r="N676" s="289" t="str">
        <f ca="1">IFERROR(CIQLO(MO.Ticker.CapIQ,"IQ_LASTSALEPRICE",INDEX(MO_SNA_FPStartDate,0,COLUMN()),INDEX(MO_Common_QEndDate,0,COLUMN())),"N/A")</f>
        <v>N/A</v>
      </c>
      <c r="O676" s="289" t="str">
        <f ca="1">IFERROR(CIQLO(MO.Ticker.CapIQ,"IQ_LASTSALEPRICE",INDEX(MO_SNA_FPStartDate,0,COLUMN()),INDEX(MO_Common_QEndDate,0,COLUMN())),"N/A")</f>
        <v>N/A</v>
      </c>
      <c r="P676" s="289" t="str">
        <f ca="1">IFERROR(CIQLO(MO.Ticker.CapIQ,"IQ_LASTSALEPRICE",INDEX(MO_SNA_FPStartDate,0,COLUMN()),INDEX(MO_Common_QEndDate,0,COLUMN())),"N/A")</f>
        <v>N/A</v>
      </c>
      <c r="Q676" s="289" t="str">
        <f ca="1">IFERROR(CIQLO(MO.Ticker.CapIQ,"IQ_LASTSALEPRICE",INDEX(MO_SNA_FPStartDate,0,COLUMN()),INDEX(MO_Common_QEndDate,0,COLUMN())),"N/A")</f>
        <v>N/A</v>
      </c>
      <c r="R676" s="289" t="str">
        <f ca="1">IFERROR(CIQLO(MO.Ticker.CapIQ,"IQ_LASTSALEPRICE",INDEX(MO_SNA_FPStartDate,0,COLUMN()),INDEX(MO_Common_QEndDate,0,COLUMN())),"N/A")</f>
        <v>N/A</v>
      </c>
      <c r="S676" s="289" t="str">
        <f ca="1">IFERROR(CIQLO(MO.Ticker.CapIQ,"IQ_LASTSALEPRICE",INDEX(MO_SNA_FPStartDate,0,COLUMN()),INDEX(MO_Common_QEndDate,0,COLUMN())),"N/A")</f>
        <v>N/A</v>
      </c>
      <c r="T676" s="289" t="str">
        <f ca="1">IFERROR(CIQLO(MO.Ticker.CapIQ,"IQ_LASTSALEPRICE",INDEX(MO_SNA_FPStartDate,0,COLUMN()),INDEX(MO_Common_QEndDate,0,COLUMN())),"N/A")</f>
        <v>N/A</v>
      </c>
      <c r="U676" s="289" t="str">
        <f ca="1">IFERROR(CIQLO(MO.Ticker.CapIQ,"IQ_LASTSALEPRICE",INDEX(MO_SNA_FPStartDate,0,COLUMN()),INDEX(MO_Common_QEndDate,0,COLUMN())),"N/A")</f>
        <v>N/A</v>
      </c>
      <c r="V676" s="289" t="str">
        <f ca="1">IFERROR(CIQLO(MO.Ticker.CapIQ,"IQ_LASTSALEPRICE",INDEX(MO_SNA_FPStartDate,0,COLUMN()),INDEX(MO_Common_QEndDate,0,COLUMN())),"N/A")</f>
        <v>N/A</v>
      </c>
      <c r="W676" s="289" t="str">
        <f ca="1">IFERROR(CIQLO(MO.Ticker.CapIQ,"IQ_LASTSALEPRICE",INDEX(MO_SNA_FPStartDate,0,COLUMN()),INDEX(MO_Common_QEndDate,0,COLUMN())),"N/A")</f>
        <v>N/A</v>
      </c>
      <c r="X676" s="289" t="str">
        <f ca="1">IFERROR(CIQLO(MO.Ticker.CapIQ,"IQ_LASTSALEPRICE",INDEX(MO_SNA_FPStartDate,0,COLUMN()),INDEX(MO_Common_QEndDate,0,COLUMN())),"N/A")</f>
        <v>N/A</v>
      </c>
      <c r="Y676" s="289" t="str">
        <f ca="1">IFERROR(CIQLO(MO.Ticker.CapIQ,"IQ_LASTSALEPRICE",INDEX(MO_SNA_FPStartDate,0,COLUMN()),INDEX(MO_Common_QEndDate,0,COLUMN())),"N/A")</f>
        <v>N/A</v>
      </c>
      <c r="Z676" s="289" t="str">
        <f ca="1">IFERROR(CIQLO(MO.Ticker.CapIQ,"IQ_LASTSALEPRICE",INDEX(MO_SNA_FPStartDate,0,COLUMN()),INDEX(MO_Common_QEndDate,0,COLUMN())),"N/A")</f>
        <v>N/A</v>
      </c>
      <c r="AA676" s="289" t="str">
        <f ca="1">IFERROR(CIQLO(MO.Ticker.CapIQ,"IQ_LASTSALEPRICE",INDEX(MO_SNA_FPStartDate,0,COLUMN()),INDEX(MO_Common_QEndDate,0,COLUMN())),"N/A")</f>
        <v>N/A</v>
      </c>
      <c r="AB676" s="289" t="str">
        <f ca="1">IFERROR(CIQLO(MO.Ticker.CapIQ,"IQ_LASTSALEPRICE",INDEX(MO_SNA_FPStartDate,0,COLUMN()),INDEX(MO_Common_QEndDate,0,COLUMN())),"N/A")</f>
        <v>N/A</v>
      </c>
      <c r="AC676" s="289" t="str">
        <f ca="1">IFERROR(CIQLO(MO.Ticker.CapIQ,"IQ_LASTSALEPRICE",INDEX(MO_SNA_FPStartDate,0,COLUMN()),INDEX(MO_Common_QEndDate,0,COLUMN())),"N/A")</f>
        <v>N/A</v>
      </c>
      <c r="AD676" s="289" t="str">
        <f ca="1">IFERROR(CIQLO(MO.Ticker.CapIQ,"IQ_LASTSALEPRICE",INDEX(MO_SNA_FPStartDate,0,COLUMN()),INDEX(MO_Common_QEndDate,0,COLUMN())),"N/A")</f>
        <v>N/A</v>
      </c>
      <c r="AE676" s="289" t="str">
        <f ca="1">IFERROR(CIQLO(MO.Ticker.CapIQ,"IQ_LASTSALEPRICE",INDEX(MO_SNA_FPStartDate,0,COLUMN()),INDEX(MO_Common_QEndDate,0,COLUMN())),"N/A")</f>
        <v>N/A</v>
      </c>
      <c r="AF676" s="289" t="str">
        <f ca="1">IFERROR(CIQLO(MO.Ticker.CapIQ,"IQ_LASTSALEPRICE",INDEX(MO_SNA_FPStartDate,0,COLUMN()),INDEX(MO_Common_QEndDate,0,COLUMN())),"N/A")</f>
        <v>N/A</v>
      </c>
      <c r="AG676" s="289" t="str">
        <f ca="1">IFERROR(CIQLO(MO.Ticker.CapIQ,"IQ_LASTSALEPRICE",INDEX(MO_SNA_FPStartDate,0,COLUMN()),INDEX(MO_Common_QEndDate,0,COLUMN())),"N/A")</f>
        <v>N/A</v>
      </c>
      <c r="AH676" s="289" t="str">
        <f ca="1">IFERROR(CIQLO(MO.Ticker.CapIQ,"IQ_LASTSALEPRICE",INDEX(MO_SNA_FPStartDate,0,COLUMN()),INDEX(MO_Common_QEndDate,0,COLUMN())),"N/A")</f>
        <v>N/A</v>
      </c>
      <c r="AI676" s="289" t="str">
        <f ca="1">IFERROR(CIQLO(MO.Ticker.CapIQ,"IQ_LASTSALEPRICE",INDEX(MO_SNA_FPStartDate,0,COLUMN()),INDEX(MO_Common_QEndDate,0,COLUMN())),"N/A")</f>
        <v>N/A</v>
      </c>
      <c r="AJ676" s="289" t="str">
        <f ca="1">IFERROR(CIQLO(MO.Ticker.CapIQ,"IQ_LASTSALEPRICE",INDEX(MO_SNA_FPStartDate,0,COLUMN()),INDEX(MO_Common_QEndDate,0,COLUMN())),"N/A")</f>
        <v>N/A</v>
      </c>
      <c r="AK676" s="289" t="str">
        <f ca="1">IFERROR(CIQLO(MO.Ticker.CapIQ,"IQ_LASTSALEPRICE",INDEX(MO_SNA_FPStartDate,0,COLUMN()),INDEX(MO_Common_QEndDate,0,COLUMN())),"N/A")</f>
        <v>N/A</v>
      </c>
      <c r="AL676" s="289" t="str">
        <f ca="1">IFERROR(CIQLO(MO.Ticker.CapIQ,"IQ_LASTSALEPRICE",INDEX(MO_SNA_FPStartDate,0,COLUMN()),INDEX(MO_Common_QEndDate,0,COLUMN())),"N/A")</f>
        <v>N/A</v>
      </c>
      <c r="AM676" s="289" t="str">
        <f ca="1">IFERROR(CIQLO(MO.Ticker.CapIQ,"IQ_LASTSALEPRICE",INDEX(MO_SNA_FPStartDate,0,COLUMN()),INDEX(MO_Common_QEndDate,0,COLUMN())),"N/A")</f>
        <v>N/A</v>
      </c>
      <c r="AN676" s="289" t="str">
        <f ca="1">IFERROR(CIQLO(MO.Ticker.CapIQ,"IQ_LASTSALEPRICE",INDEX(MO_SNA_FPStartDate,0,COLUMN()),INDEX(MO_Common_QEndDate,0,COLUMN())),"N/A")</f>
        <v>N/A</v>
      </c>
      <c r="AO676" s="289" t="str">
        <f ca="1">IFERROR(CIQLO(MO.Ticker.CapIQ,"IQ_LASTSALEPRICE",INDEX(MO_SNA_FPStartDate,0,COLUMN()),INDEX(MO_Common_QEndDate,0,COLUMN())),"N/A")</f>
        <v>N/A</v>
      </c>
      <c r="AP676" s="289" t="str">
        <f ca="1">IFERROR(CIQLO(MO.Ticker.CapIQ,"IQ_LASTSALEPRICE",INDEX(MO_SNA_FPStartDate,0,COLUMN()),INDEX(MO_Common_QEndDate,0,COLUMN())),"N/A")</f>
        <v>N/A</v>
      </c>
      <c r="AQ676" s="289" t="str">
        <f ca="1">IFERROR(CIQLO(MO.Ticker.CapIQ,"IQ_LASTSALEPRICE",INDEX(MO_SNA_FPStartDate,0,COLUMN()),INDEX(MO_Common_QEndDate,0,COLUMN())),"N/A")</f>
        <v>N/A</v>
      </c>
      <c r="AR676" s="289" t="str">
        <f ca="1">IFERROR(CIQLO(MO.Ticker.CapIQ,"IQ_LASTSALEPRICE",INDEX(MO_SNA_FPStartDate,0,COLUMN()),INDEX(MO_Common_QEndDate,0,COLUMN())),"N/A")</f>
        <v>N/A</v>
      </c>
      <c r="AS676" s="289" t="str">
        <f ca="1">IFERROR(CIQLO(MO.Ticker.CapIQ,"IQ_LASTSALEPRICE",INDEX(MO_SNA_FPStartDate,0,COLUMN()),INDEX(MO_Common_QEndDate,0,COLUMN())),"N/A")</f>
        <v>N/A</v>
      </c>
      <c r="AT676" s="289" t="str">
        <f ca="1">IFERROR(CIQLO(MO.Ticker.CapIQ,"IQ_LASTSALEPRICE",INDEX(MO_SNA_FPStartDate,0,COLUMN()),INDEX(MO_Common_QEndDate,0,COLUMN())),"N/A")</f>
        <v>N/A</v>
      </c>
      <c r="AU676" s="289" t="str">
        <f ca="1">IFERROR(CIQLO(MO.Ticker.CapIQ,"IQ_LASTSALEPRICE",INDEX(MO_SNA_FPStartDate,0,COLUMN()),INDEX(MO_Common_QEndDate,0,COLUMN())),"N/A")</f>
        <v>N/A</v>
      </c>
      <c r="AV676" s="289" t="str">
        <f ca="1">IFERROR(CIQLO(MO.Ticker.CapIQ,"IQ_LASTSALEPRICE",INDEX(MO_SNA_FPStartDate,0,COLUMN()),INDEX(MO_Common_QEndDate,0,COLUMN())),"N/A")</f>
        <v>N/A</v>
      </c>
      <c r="AW676" s="289" t="str">
        <f ca="1">IFERROR(CIQLO(MO.Ticker.CapIQ,"IQ_LASTSALEPRICE",INDEX(MO_SNA_FPStartDate,0,COLUMN()),INDEX(MO_Common_QEndDate,0,COLUMN())),"N/A")</f>
        <v>N/A</v>
      </c>
      <c r="AX676" s="289" t="str">
        <f ca="1">IFERROR(CIQLO(MO.Ticker.CapIQ,"IQ_LASTSALEPRICE",INDEX(MO_SNA_FPStartDate,0,COLUMN()),INDEX(MO_Common_QEndDate,0,COLUMN())),"N/A")</f>
        <v>N/A</v>
      </c>
      <c r="AY676" s="289" t="str">
        <f ca="1">IFERROR(CIQLO(MO.Ticker.CapIQ,"IQ_LASTSALEPRICE",INDEX(MO_SNA_FPStartDate,0,COLUMN()),INDEX(MO_Common_QEndDate,0,COLUMN())),"N/A")</f>
        <v>N/A</v>
      </c>
      <c r="AZ676" s="289" t="str">
        <f ca="1">IFERROR(CIQLO(MO.Ticker.CapIQ,"IQ_LASTSALEPRICE",INDEX(MO_SNA_FPStartDate,0,COLUMN()),INDEX(MO_Common_QEndDate,0,COLUMN())),"N/A")</f>
        <v>N/A</v>
      </c>
      <c r="BA676" s="289" t="str">
        <f ca="1">IFERROR(CIQLO(MO.Ticker.CapIQ,"IQ_LASTSALEPRICE",INDEX(MO_SNA_FPStartDate,0,COLUMN()),INDEX(MO_Common_QEndDate,0,COLUMN())),"N/A")</f>
        <v>N/A</v>
      </c>
      <c r="BB676" s="289" t="str">
        <f ca="1">IFERROR(CIQLO(MO.Ticker.CapIQ,"IQ_LASTSALEPRICE",INDEX(MO_SNA_FPStartDate,0,COLUMN()),INDEX(MO_Common_QEndDate,0,COLUMN())),"N/A")</f>
        <v>N/A</v>
      </c>
      <c r="BC676" s="289" t="str">
        <f ca="1">IFERROR(CIQLO(MO.Ticker.CapIQ,"IQ_LASTSALEPRICE",INDEX(MO_SNA_FPStartDate,0,COLUMN()),INDEX(MO_Common_QEndDate,0,COLUMN())),"N/A")</f>
        <v>N/A</v>
      </c>
      <c r="BD676" s="289" t="str">
        <f ca="1">IFERROR(CIQLO(MO.Ticker.CapIQ,"IQ_LASTSALEPRICE",INDEX(MO_SNA_FPStartDate,0,COLUMN()),INDEX(MO_Common_QEndDate,0,COLUMN())),"N/A")</f>
        <v>N/A</v>
      </c>
      <c r="BE676" s="289" t="str">
        <f ca="1">IFERROR(CIQLO(MO.Ticker.CapIQ,"IQ_LASTSALEPRICE",INDEX(MO_SNA_FPStartDate,0,COLUMN()),INDEX(MO_Common_QEndDate,0,COLUMN())),"N/A")</f>
        <v>N/A</v>
      </c>
      <c r="BF676" s="289" t="str">
        <f ca="1">IFERROR(CIQLO(MO.Ticker.CapIQ,"IQ_LASTSALEPRICE",INDEX(MO_SNA_FPStartDate,0,COLUMN()),INDEX(MO_Common_QEndDate,0,COLUMN())),"N/A")</f>
        <v>N/A</v>
      </c>
      <c r="BG676" s="289" t="str">
        <f ca="1">IFERROR(CIQLO(MO.Ticker.CapIQ,"IQ_LASTSALEPRICE",INDEX(MO_SNA_FPStartDate,0,COLUMN()),INDEX(MO_Common_QEndDate,0,COLUMN())),"N/A")</f>
        <v>N/A</v>
      </c>
      <c r="BH676" s="266" t="str">
        <f ca="1">IFERROR(CIQLO(MO.Ticker.CapIQ,"IQ_LASTSALEPRICE",INDEX(MO_SNA_FPStartDate,0,COLUMN()),INDEX(MO_Common_QEndDate,0,COLUMN())),"N/A")</f>
        <v>N/A</v>
      </c>
      <c r="BI676" s="257" t="str">
        <f ca="1">IFERROR(CIQLO(MO.Ticker.CapIQ,"IQ_LASTSALEPRICE",INDEX(MO_SNA_FPStartDate,0,COLUMN()),INDEX(MO_Common_QEndDate,0,COLUMN())),"N/A")</f>
        <v>N/A</v>
      </c>
      <c r="BJ676" s="257" t="str">
        <f ca="1">IFERROR(CIQLO(MO.Ticker.CapIQ,"IQ_LASTSALEPRICE",INDEX(MO_SNA_FPStartDate,0,COLUMN()),INDEX(MO_Common_QEndDate,0,COLUMN())),"N/A")</f>
        <v>N/A</v>
      </c>
      <c r="BK676" s="257" t="str">
        <f ca="1">IFERROR(CIQLO(MO.Ticker.CapIQ,"IQ_LASTSALEPRICE",INDEX(MO_SNA_FPStartDate,0,COLUMN()),INDEX(MO_Common_QEndDate,0,COLUMN())),"N/A")</f>
        <v>N/A</v>
      </c>
      <c r="BL676" s="257" t="str">
        <f ca="1">IFERROR(CIQLO(MO.Ticker.CapIQ,"IQ_LASTSALEPRICE",INDEX(MO_SNA_FPStartDate,0,COLUMN()),INDEX(MO_Common_QEndDate,0,COLUMN())),"N/A")</f>
        <v>N/A</v>
      </c>
      <c r="BM676" s="257" t="str">
        <f ca="1">IFERROR(CIQLO(MO.Ticker.CapIQ,"IQ_LASTSALEPRICE",INDEX(MO_SNA_FPStartDate,0,COLUMN()),INDEX(MO_Common_QEndDate,0,COLUMN())),"N/A")</f>
        <v>N/A</v>
      </c>
      <c r="BN676" s="257" t="str">
        <f ca="1">IFERROR(CIQLO(MO.Ticker.CapIQ,"IQ_LASTSALEPRICE",INDEX(MO_SNA_FPStartDate,0,COLUMN()),INDEX(MO_Common_QEndDate,0,COLUMN())),"N/A")</f>
        <v>N/A</v>
      </c>
      <c r="BO676" s="257" t="str">
        <f ca="1">IFERROR(CIQLO(MO.Ticker.CapIQ,"IQ_LASTSALEPRICE",INDEX(MO_SNA_FPStartDate,0,COLUMN()),INDEX(MO_Common_QEndDate,0,COLUMN())),"N/A")</f>
        <v>N/A</v>
      </c>
      <c r="BP676" s="289" t="str">
        <f ca="1">IFERROR(CIQLO(MO.Ticker.CapIQ,"IQ_LASTSALEPRICE",INDEX(MO_SNA_FPStartDate,0,COLUMN()),INDEX(MO_Common_QEndDate,0,COLUMN())),"N/A")</f>
        <v>N/A</v>
      </c>
      <c r="BQ676" s="289" t="str">
        <f ca="1">IFERROR(CIQLO(MO.Ticker.CapIQ,"IQ_LASTSALEPRICE",INDEX(MO_SNA_FPStartDate,0,COLUMN()),INDEX(MO_Common_QEndDate,0,COLUMN())),"N/A")</f>
        <v>N/A</v>
      </c>
      <c r="BR676" s="258" t="str">
        <f ca="1">IFERROR(CIQLO(MO.Ticker.CapIQ,"IQ_LASTSALEPRICE",INDEX(MO_SNA_FPStartDate,0,COLUMN()),INDEX(MO_Common_QEndDate,0,COLUMN())),"N/A")</f>
        <v>N/A</v>
      </c>
      <c r="BS676" s="371"/>
    </row>
    <row r="677" spans="1:71" s="690" customFormat="1" ht="15" hidden="1" outlineLevel="1">
      <c r="A677" s="259" t="s">
        <v>397</v>
      </c>
      <c r="B677" s="257"/>
      <c r="C677" s="436" t="str">
        <f ca="1">IFERROR(_xll.FDS(MO.Ticker.FactSet,"P_PRICE_LOW"&amp;"("&amp;INDEX(MO_SNA_FPStartDate,0,COLUMN())&amp;","&amp;INDEX(MO_Common_QEndDate,0,COLUMN())&amp;",,,,""PRICE"",""CLOSE"")"),"N/A")</f>
        <v>N/A</v>
      </c>
      <c r="D677" s="436" t="str">
        <f ca="1">IFERROR(_xll.FDS(MO.Ticker.FactSet,"P_PRICE_LOW"&amp;"("&amp;INDEX(MO_SNA_FPStartDate,0,COLUMN())&amp;","&amp;INDEX(MO_Common_QEndDate,0,COLUMN())&amp;",,,,""PRICE"",""CLOSE"")"),"N/A")</f>
        <v>N/A</v>
      </c>
      <c r="E677" s="289" t="str">
        <f ca="1">IFERROR(_xll.FDS(MO.Ticker.FactSet,"P_PRICE_LOW"&amp;"("&amp;INDEX(MO_SNA_FPStartDate,0,COLUMN())&amp;","&amp;INDEX(MO_Common_QEndDate,0,COLUMN())&amp;",,,,""PRICE"",""CLOSE"")"),"N/A")</f>
        <v>N/A</v>
      </c>
      <c r="F677" s="289" t="str">
        <f ca="1">IFERROR(_xll.FDS(MO.Ticker.FactSet,"P_PRICE_LOW"&amp;"("&amp;INDEX(MO_SNA_FPStartDate,0,COLUMN())&amp;","&amp;INDEX(MO_Common_QEndDate,0,COLUMN())&amp;",,,,""PRICE"",""CLOSE"")"),"N/A")</f>
        <v>N/A</v>
      </c>
      <c r="G677" s="289" t="str">
        <f ca="1">IFERROR(_xll.FDS(MO.Ticker.FactSet,"P_PRICE_LOW"&amp;"("&amp;INDEX(MO_SNA_FPStartDate,0,COLUMN())&amp;","&amp;INDEX(MO_Common_QEndDate,0,COLUMN())&amp;",,,,""PRICE"",""CLOSE"")"),"N/A")</f>
        <v>N/A</v>
      </c>
      <c r="H677" s="289" t="str">
        <f ca="1">IFERROR(_xll.FDS(MO.Ticker.FactSet,"P_PRICE_LOW"&amp;"("&amp;INDEX(MO_SNA_FPStartDate,0,COLUMN())&amp;","&amp;INDEX(MO_Common_QEndDate,0,COLUMN())&amp;",,,,""PRICE"",""CLOSE"")"),"N/A")</f>
        <v>N/A</v>
      </c>
      <c r="I677" s="289" t="str">
        <f ca="1">IFERROR(_xll.FDS(MO.Ticker.FactSet,"P_PRICE_LOW"&amp;"("&amp;INDEX(MO_SNA_FPStartDate,0,COLUMN())&amp;","&amp;INDEX(MO_Common_QEndDate,0,COLUMN())&amp;",,,,""PRICE"",""CLOSE"")"),"N/A")</f>
        <v>N/A</v>
      </c>
      <c r="J677" s="289" t="str">
        <f ca="1">IFERROR(_xll.FDS(MO.Ticker.FactSet,"P_PRICE_LOW"&amp;"("&amp;INDEX(MO_SNA_FPStartDate,0,COLUMN())&amp;","&amp;INDEX(MO_Common_QEndDate,0,COLUMN())&amp;",,,,""PRICE"",""CLOSE"")"),"N/A")</f>
        <v>N/A</v>
      </c>
      <c r="K677" s="289" t="str">
        <f ca="1">IFERROR(_xll.FDS(MO.Ticker.FactSet,"P_PRICE_LOW"&amp;"("&amp;INDEX(MO_SNA_FPStartDate,0,COLUMN())&amp;","&amp;INDEX(MO_Common_QEndDate,0,COLUMN())&amp;",,,,""PRICE"",""CLOSE"")"),"N/A")</f>
        <v>N/A</v>
      </c>
      <c r="L677" s="289" t="str">
        <f ca="1">IFERROR(_xll.FDS(MO.Ticker.FactSet,"P_PRICE_LOW"&amp;"("&amp;INDEX(MO_SNA_FPStartDate,0,COLUMN())&amp;","&amp;INDEX(MO_Common_QEndDate,0,COLUMN())&amp;",,,,""PRICE"",""CLOSE"")"),"N/A")</f>
        <v>N/A</v>
      </c>
      <c r="M677" s="289" t="str">
        <f ca="1">IFERROR(_xll.FDS(MO.Ticker.FactSet,"P_PRICE_LOW"&amp;"("&amp;INDEX(MO_SNA_FPStartDate,0,COLUMN())&amp;","&amp;INDEX(MO_Common_QEndDate,0,COLUMN())&amp;",,,,""PRICE"",""CLOSE"")"),"N/A")</f>
        <v>N/A</v>
      </c>
      <c r="N677" s="289" t="str">
        <f ca="1">IFERROR(_xll.FDS(MO.Ticker.FactSet,"P_PRICE_LOW"&amp;"("&amp;INDEX(MO_SNA_FPStartDate,0,COLUMN())&amp;","&amp;INDEX(MO_Common_QEndDate,0,COLUMN())&amp;",,,,""PRICE"",""CLOSE"")"),"N/A")</f>
        <v>N/A</v>
      </c>
      <c r="O677" s="289" t="str">
        <f ca="1">IFERROR(_xll.FDS(MO.Ticker.FactSet,"P_PRICE_LOW"&amp;"("&amp;INDEX(MO_SNA_FPStartDate,0,COLUMN())&amp;","&amp;INDEX(MO_Common_QEndDate,0,COLUMN())&amp;",,,,""PRICE"",""CLOSE"")"),"N/A")</f>
        <v>N/A</v>
      </c>
      <c r="P677" s="289" t="str">
        <f ca="1">IFERROR(_xll.FDS(MO.Ticker.FactSet,"P_PRICE_LOW"&amp;"("&amp;INDEX(MO_SNA_FPStartDate,0,COLUMN())&amp;","&amp;INDEX(MO_Common_QEndDate,0,COLUMN())&amp;",,,,""PRICE"",""CLOSE"")"),"N/A")</f>
        <v>N/A</v>
      </c>
      <c r="Q677" s="289" t="str">
        <f ca="1">IFERROR(_xll.FDS(MO.Ticker.FactSet,"P_PRICE_LOW"&amp;"("&amp;INDEX(MO_SNA_FPStartDate,0,COLUMN())&amp;","&amp;INDEX(MO_Common_QEndDate,0,COLUMN())&amp;",,,,""PRICE"",""CLOSE"")"),"N/A")</f>
        <v>N/A</v>
      </c>
      <c r="R677" s="289" t="str">
        <f ca="1">IFERROR(_xll.FDS(MO.Ticker.FactSet,"P_PRICE_LOW"&amp;"("&amp;INDEX(MO_SNA_FPStartDate,0,COLUMN())&amp;","&amp;INDEX(MO_Common_QEndDate,0,COLUMN())&amp;",,,,""PRICE"",""CLOSE"")"),"N/A")</f>
        <v>N/A</v>
      </c>
      <c r="S677" s="289" t="str">
        <f ca="1">IFERROR(_xll.FDS(MO.Ticker.FactSet,"P_PRICE_LOW"&amp;"("&amp;INDEX(MO_SNA_FPStartDate,0,COLUMN())&amp;","&amp;INDEX(MO_Common_QEndDate,0,COLUMN())&amp;",,,,""PRICE"",""CLOSE"")"),"N/A")</f>
        <v>N/A</v>
      </c>
      <c r="T677" s="289" t="str">
        <f ca="1">IFERROR(_xll.FDS(MO.Ticker.FactSet,"P_PRICE_LOW"&amp;"("&amp;INDEX(MO_SNA_FPStartDate,0,COLUMN())&amp;","&amp;INDEX(MO_Common_QEndDate,0,COLUMN())&amp;",,,,""PRICE"",""CLOSE"")"),"N/A")</f>
        <v>N/A</v>
      </c>
      <c r="U677" s="289" t="str">
        <f ca="1">IFERROR(_xll.FDS(MO.Ticker.FactSet,"P_PRICE_LOW"&amp;"("&amp;INDEX(MO_SNA_FPStartDate,0,COLUMN())&amp;","&amp;INDEX(MO_Common_QEndDate,0,COLUMN())&amp;",,,,""PRICE"",""CLOSE"")"),"N/A")</f>
        <v>N/A</v>
      </c>
      <c r="V677" s="289" t="str">
        <f ca="1">IFERROR(_xll.FDS(MO.Ticker.FactSet,"P_PRICE_LOW"&amp;"("&amp;INDEX(MO_SNA_FPStartDate,0,COLUMN())&amp;","&amp;INDEX(MO_Common_QEndDate,0,COLUMN())&amp;",,,,""PRICE"",""CLOSE"")"),"N/A")</f>
        <v>N/A</v>
      </c>
      <c r="W677" s="289" t="str">
        <f ca="1">IFERROR(_xll.FDS(MO.Ticker.FactSet,"P_PRICE_LOW"&amp;"("&amp;INDEX(MO_SNA_FPStartDate,0,COLUMN())&amp;","&amp;INDEX(MO_Common_QEndDate,0,COLUMN())&amp;",,,,""PRICE"",""CLOSE"")"),"N/A")</f>
        <v>N/A</v>
      </c>
      <c r="X677" s="289" t="str">
        <f ca="1">IFERROR(_xll.FDS(MO.Ticker.FactSet,"P_PRICE_LOW"&amp;"("&amp;INDEX(MO_SNA_FPStartDate,0,COLUMN())&amp;","&amp;INDEX(MO_Common_QEndDate,0,COLUMN())&amp;",,,,""PRICE"",""CLOSE"")"),"N/A")</f>
        <v>N/A</v>
      </c>
      <c r="Y677" s="289" t="str">
        <f ca="1">IFERROR(_xll.FDS(MO.Ticker.FactSet,"P_PRICE_LOW"&amp;"("&amp;INDEX(MO_SNA_FPStartDate,0,COLUMN())&amp;","&amp;INDEX(MO_Common_QEndDate,0,COLUMN())&amp;",,,,""PRICE"",""CLOSE"")"),"N/A")</f>
        <v>N/A</v>
      </c>
      <c r="Z677" s="289" t="str">
        <f ca="1">IFERROR(_xll.FDS(MO.Ticker.FactSet,"P_PRICE_LOW"&amp;"("&amp;INDEX(MO_SNA_FPStartDate,0,COLUMN())&amp;","&amp;INDEX(MO_Common_QEndDate,0,COLUMN())&amp;",,,,""PRICE"",""CLOSE"")"),"N/A")</f>
        <v>N/A</v>
      </c>
      <c r="AA677" s="289" t="str">
        <f ca="1">IFERROR(_xll.FDS(MO.Ticker.FactSet,"P_PRICE_LOW"&amp;"("&amp;INDEX(MO_SNA_FPStartDate,0,COLUMN())&amp;","&amp;INDEX(MO_Common_QEndDate,0,COLUMN())&amp;",,,,""PRICE"",""CLOSE"")"),"N/A")</f>
        <v>N/A</v>
      </c>
      <c r="AB677" s="289" t="str">
        <f ca="1">IFERROR(_xll.FDS(MO.Ticker.FactSet,"P_PRICE_LOW"&amp;"("&amp;INDEX(MO_SNA_FPStartDate,0,COLUMN())&amp;","&amp;INDEX(MO_Common_QEndDate,0,COLUMN())&amp;",,,,""PRICE"",""CLOSE"")"),"N/A")</f>
        <v>N/A</v>
      </c>
      <c r="AC677" s="289" t="str">
        <f ca="1">IFERROR(_xll.FDS(MO.Ticker.FactSet,"P_PRICE_LOW"&amp;"("&amp;INDEX(MO_SNA_FPStartDate,0,COLUMN())&amp;","&amp;INDEX(MO_Common_QEndDate,0,COLUMN())&amp;",,,,""PRICE"",""CLOSE"")"),"N/A")</f>
        <v>N/A</v>
      </c>
      <c r="AD677" s="289" t="str">
        <f ca="1">IFERROR(_xll.FDS(MO.Ticker.FactSet,"P_PRICE_LOW"&amp;"("&amp;INDEX(MO_SNA_FPStartDate,0,COLUMN())&amp;","&amp;INDEX(MO_Common_QEndDate,0,COLUMN())&amp;",,,,""PRICE"",""CLOSE"")"),"N/A")</f>
        <v>N/A</v>
      </c>
      <c r="AE677" s="289" t="str">
        <f ca="1">IFERROR(_xll.FDS(MO.Ticker.FactSet,"P_PRICE_LOW"&amp;"("&amp;INDEX(MO_SNA_FPStartDate,0,COLUMN())&amp;","&amp;INDEX(MO_Common_QEndDate,0,COLUMN())&amp;",,,,""PRICE"",""CLOSE"")"),"N/A")</f>
        <v>N/A</v>
      </c>
      <c r="AF677" s="289" t="str">
        <f ca="1">IFERROR(_xll.FDS(MO.Ticker.FactSet,"P_PRICE_LOW"&amp;"("&amp;INDEX(MO_SNA_FPStartDate,0,COLUMN())&amp;","&amp;INDEX(MO_Common_QEndDate,0,COLUMN())&amp;",,,,""PRICE"",""CLOSE"")"),"N/A")</f>
        <v>N/A</v>
      </c>
      <c r="AG677" s="289" t="str">
        <f ca="1">IFERROR(_xll.FDS(MO.Ticker.FactSet,"P_PRICE_LOW"&amp;"("&amp;INDEX(MO_SNA_FPStartDate,0,COLUMN())&amp;","&amp;INDEX(MO_Common_QEndDate,0,COLUMN())&amp;",,,,""PRICE"",""CLOSE"")"),"N/A")</f>
        <v>N/A</v>
      </c>
      <c r="AH677" s="289" t="str">
        <f ca="1">IFERROR(_xll.FDS(MO.Ticker.FactSet,"P_PRICE_LOW"&amp;"("&amp;INDEX(MO_SNA_FPStartDate,0,COLUMN())&amp;","&amp;INDEX(MO_Common_QEndDate,0,COLUMN())&amp;",,,,""PRICE"",""CLOSE"")"),"N/A")</f>
        <v>N/A</v>
      </c>
      <c r="AI677" s="289" t="str">
        <f ca="1">IFERROR(_xll.FDS(MO.Ticker.FactSet,"P_PRICE_LOW"&amp;"("&amp;INDEX(MO_SNA_FPStartDate,0,COLUMN())&amp;","&amp;INDEX(MO_Common_QEndDate,0,COLUMN())&amp;",,,,""PRICE"",""CLOSE"")"),"N/A")</f>
        <v>N/A</v>
      </c>
      <c r="AJ677" s="289" t="str">
        <f ca="1">IFERROR(_xll.FDS(MO.Ticker.FactSet,"P_PRICE_LOW"&amp;"("&amp;INDEX(MO_SNA_FPStartDate,0,COLUMN())&amp;","&amp;INDEX(MO_Common_QEndDate,0,COLUMN())&amp;",,,,""PRICE"",""CLOSE"")"),"N/A")</f>
        <v>N/A</v>
      </c>
      <c r="AK677" s="289" t="str">
        <f ca="1">IFERROR(_xll.FDS(MO.Ticker.FactSet,"P_PRICE_LOW"&amp;"("&amp;INDEX(MO_SNA_FPStartDate,0,COLUMN())&amp;","&amp;INDEX(MO_Common_QEndDate,0,COLUMN())&amp;",,,,""PRICE"",""CLOSE"")"),"N/A")</f>
        <v>N/A</v>
      </c>
      <c r="AL677" s="289" t="str">
        <f ca="1">IFERROR(_xll.FDS(MO.Ticker.FactSet,"P_PRICE_LOW"&amp;"("&amp;INDEX(MO_SNA_FPStartDate,0,COLUMN())&amp;","&amp;INDEX(MO_Common_QEndDate,0,COLUMN())&amp;",,,,""PRICE"",""CLOSE"")"),"N/A")</f>
        <v>N/A</v>
      </c>
      <c r="AM677" s="289" t="str">
        <f ca="1">IFERROR(_xll.FDS(MO.Ticker.FactSet,"P_PRICE_LOW"&amp;"("&amp;INDEX(MO_SNA_FPStartDate,0,COLUMN())&amp;","&amp;INDEX(MO_Common_QEndDate,0,COLUMN())&amp;",,,,""PRICE"",""CLOSE"")"),"N/A")</f>
        <v>N/A</v>
      </c>
      <c r="AN677" s="289" t="str">
        <f ca="1">IFERROR(_xll.FDS(MO.Ticker.FactSet,"P_PRICE_LOW"&amp;"("&amp;INDEX(MO_SNA_FPStartDate,0,COLUMN())&amp;","&amp;INDEX(MO_Common_QEndDate,0,COLUMN())&amp;",,,,""PRICE"",""CLOSE"")"),"N/A")</f>
        <v>N/A</v>
      </c>
      <c r="AO677" s="289" t="str">
        <f ca="1">IFERROR(_xll.FDS(MO.Ticker.FactSet,"P_PRICE_LOW"&amp;"("&amp;INDEX(MO_SNA_FPStartDate,0,COLUMN())&amp;","&amp;INDEX(MO_Common_QEndDate,0,COLUMN())&amp;",,,,""PRICE"",""CLOSE"")"),"N/A")</f>
        <v>N/A</v>
      </c>
      <c r="AP677" s="289" t="str">
        <f ca="1">IFERROR(_xll.FDS(MO.Ticker.FactSet,"P_PRICE_LOW"&amp;"("&amp;INDEX(MO_SNA_FPStartDate,0,COLUMN())&amp;","&amp;INDEX(MO_Common_QEndDate,0,COLUMN())&amp;",,,,""PRICE"",""CLOSE"")"),"N/A")</f>
        <v>N/A</v>
      </c>
      <c r="AQ677" s="289" t="str">
        <f ca="1">IFERROR(_xll.FDS(MO.Ticker.FactSet,"P_PRICE_LOW"&amp;"("&amp;INDEX(MO_SNA_FPStartDate,0,COLUMN())&amp;","&amp;INDEX(MO_Common_QEndDate,0,COLUMN())&amp;",,,,""PRICE"",""CLOSE"")"),"N/A")</f>
        <v>N/A</v>
      </c>
      <c r="AR677" s="289" t="str">
        <f ca="1">IFERROR(_xll.FDS(MO.Ticker.FactSet,"P_PRICE_LOW"&amp;"("&amp;INDEX(MO_SNA_FPStartDate,0,COLUMN())&amp;","&amp;INDEX(MO_Common_QEndDate,0,COLUMN())&amp;",,,,""PRICE"",""CLOSE"")"),"N/A")</f>
        <v>N/A</v>
      </c>
      <c r="AS677" s="289" t="str">
        <f ca="1">IFERROR(_xll.FDS(MO.Ticker.FactSet,"P_PRICE_LOW"&amp;"("&amp;INDEX(MO_SNA_FPStartDate,0,COLUMN())&amp;","&amp;INDEX(MO_Common_QEndDate,0,COLUMN())&amp;",,,,""PRICE"",""CLOSE"")"),"N/A")</f>
        <v>N/A</v>
      </c>
      <c r="AT677" s="289" t="str">
        <f ca="1">IFERROR(_xll.FDS(MO.Ticker.FactSet,"P_PRICE_LOW"&amp;"("&amp;INDEX(MO_SNA_FPStartDate,0,COLUMN())&amp;","&amp;INDEX(MO_Common_QEndDate,0,COLUMN())&amp;",,,,""PRICE"",""CLOSE"")"),"N/A")</f>
        <v>N/A</v>
      </c>
      <c r="AU677" s="289" t="str">
        <f ca="1">IFERROR(_xll.FDS(MO.Ticker.FactSet,"P_PRICE_LOW"&amp;"("&amp;INDEX(MO_SNA_FPStartDate,0,COLUMN())&amp;","&amp;INDEX(MO_Common_QEndDate,0,COLUMN())&amp;",,,,""PRICE"",""CLOSE"")"),"N/A")</f>
        <v>N/A</v>
      </c>
      <c r="AV677" s="289" t="str">
        <f ca="1">IFERROR(_xll.FDS(MO.Ticker.FactSet,"P_PRICE_LOW"&amp;"("&amp;INDEX(MO_SNA_FPStartDate,0,COLUMN())&amp;","&amp;INDEX(MO_Common_QEndDate,0,COLUMN())&amp;",,,,""PRICE"",""CLOSE"")"),"N/A")</f>
        <v>N/A</v>
      </c>
      <c r="AW677" s="289" t="str">
        <f ca="1">IFERROR(_xll.FDS(MO.Ticker.FactSet,"P_PRICE_LOW"&amp;"("&amp;INDEX(MO_SNA_FPStartDate,0,COLUMN())&amp;","&amp;INDEX(MO_Common_QEndDate,0,COLUMN())&amp;",,,,""PRICE"",""CLOSE"")"),"N/A")</f>
        <v>N/A</v>
      </c>
      <c r="AX677" s="289" t="str">
        <f ca="1">IFERROR(_xll.FDS(MO.Ticker.FactSet,"P_PRICE_LOW"&amp;"("&amp;INDEX(MO_SNA_FPStartDate,0,COLUMN())&amp;","&amp;INDEX(MO_Common_QEndDate,0,COLUMN())&amp;",,,,""PRICE"",""CLOSE"")"),"N/A")</f>
        <v>N/A</v>
      </c>
      <c r="AY677" s="289" t="str">
        <f ca="1">IFERROR(_xll.FDS(MO.Ticker.FactSet,"P_PRICE_LOW"&amp;"("&amp;INDEX(MO_SNA_FPStartDate,0,COLUMN())&amp;","&amp;INDEX(MO_Common_QEndDate,0,COLUMN())&amp;",,,,""PRICE"",""CLOSE"")"),"N/A")</f>
        <v>N/A</v>
      </c>
      <c r="AZ677" s="289" t="str">
        <f ca="1">IFERROR(_xll.FDS(MO.Ticker.FactSet,"P_PRICE_LOW"&amp;"("&amp;INDEX(MO_SNA_FPStartDate,0,COLUMN())&amp;","&amp;INDEX(MO_Common_QEndDate,0,COLUMN())&amp;",,,,""PRICE"",""CLOSE"")"),"N/A")</f>
        <v>N/A</v>
      </c>
      <c r="BA677" s="289" t="str">
        <f ca="1">IFERROR(_xll.FDS(MO.Ticker.FactSet,"P_PRICE_LOW"&amp;"("&amp;INDEX(MO_SNA_FPStartDate,0,COLUMN())&amp;","&amp;INDEX(MO_Common_QEndDate,0,COLUMN())&amp;",,,,""PRICE"",""CLOSE"")"),"N/A")</f>
        <v>N/A</v>
      </c>
      <c r="BB677" s="289" t="str">
        <f ca="1">IFERROR(_xll.FDS(MO.Ticker.FactSet,"P_PRICE_LOW"&amp;"("&amp;INDEX(MO_SNA_FPStartDate,0,COLUMN())&amp;","&amp;INDEX(MO_Common_QEndDate,0,COLUMN())&amp;",,,,""PRICE"",""CLOSE"")"),"N/A")</f>
        <v>N/A</v>
      </c>
      <c r="BC677" s="289" t="str">
        <f ca="1">IFERROR(_xll.FDS(MO.Ticker.FactSet,"P_PRICE_LOW"&amp;"("&amp;INDEX(MO_SNA_FPStartDate,0,COLUMN())&amp;","&amp;INDEX(MO_Common_QEndDate,0,COLUMN())&amp;",,,,""PRICE"",""CLOSE"")"),"N/A")</f>
        <v>N/A</v>
      </c>
      <c r="BD677" s="289" t="str">
        <f ca="1">IFERROR(_xll.FDS(MO.Ticker.FactSet,"P_PRICE_LOW"&amp;"("&amp;INDEX(MO_SNA_FPStartDate,0,COLUMN())&amp;","&amp;INDEX(MO_Common_QEndDate,0,COLUMN())&amp;",,,,""PRICE"",""CLOSE"")"),"N/A")</f>
        <v>N/A</v>
      </c>
      <c r="BE677" s="289" t="str">
        <f ca="1">IFERROR(_xll.FDS(MO.Ticker.FactSet,"P_PRICE_LOW"&amp;"("&amp;INDEX(MO_SNA_FPStartDate,0,COLUMN())&amp;","&amp;INDEX(MO_Common_QEndDate,0,COLUMN())&amp;",,,,""PRICE"",""CLOSE"")"),"N/A")</f>
        <v>N/A</v>
      </c>
      <c r="BF677" s="289" t="str">
        <f ca="1">IFERROR(_xll.FDS(MO.Ticker.FactSet,"P_PRICE_LOW"&amp;"("&amp;INDEX(MO_SNA_FPStartDate,0,COLUMN())&amp;","&amp;INDEX(MO_Common_QEndDate,0,COLUMN())&amp;",,,,""PRICE"",""CLOSE"")"),"N/A")</f>
        <v>N/A</v>
      </c>
      <c r="BG677" s="289" t="str">
        <f ca="1">IFERROR(_xll.FDS(MO.Ticker.FactSet,"P_PRICE_LOW"&amp;"("&amp;INDEX(MO_SNA_FPStartDate,0,COLUMN())&amp;","&amp;INDEX(MO_Common_QEndDate,0,COLUMN())&amp;",,,,""PRICE"",""CLOSE"")"),"N/A")</f>
        <v>N/A</v>
      </c>
      <c r="BH677" s="266" t="str">
        <f ca="1">IFERROR(_xll.FDS(MO.Ticker.FactSet,"P_PRICE_LOW"&amp;"("&amp;INDEX(MO_SNA_FPStartDate,0,COLUMN())&amp;","&amp;INDEX(MO_Common_QEndDate,0,COLUMN())&amp;",,,,""PRICE"",""CLOSE"")"),"N/A")</f>
        <v>N/A</v>
      </c>
      <c r="BI677" s="257" t="str">
        <f ca="1">IFERROR(_xll.FDS(MO.Ticker.FactSet,"P_PRICE_LOW"&amp;"("&amp;INDEX(MO_SNA_FPStartDate,0,COLUMN())&amp;","&amp;INDEX(MO_Common_QEndDate,0,COLUMN())&amp;",,,,""PRICE"",""CLOSE"")"),"N/A")</f>
        <v>N/A</v>
      </c>
      <c r="BJ677" s="257" t="str">
        <f ca="1">IFERROR(_xll.FDS(MO.Ticker.FactSet,"P_PRICE_LOW"&amp;"("&amp;INDEX(MO_SNA_FPStartDate,0,COLUMN())&amp;","&amp;INDEX(MO_Common_QEndDate,0,COLUMN())&amp;",,,,""PRICE"",""CLOSE"")"),"N/A")</f>
        <v>N/A</v>
      </c>
      <c r="BK677" s="257" t="str">
        <f ca="1">IFERROR(_xll.FDS(MO.Ticker.FactSet,"P_PRICE_LOW"&amp;"("&amp;INDEX(MO_SNA_FPStartDate,0,COLUMN())&amp;","&amp;INDEX(MO_Common_QEndDate,0,COLUMN())&amp;",,,,""PRICE"",""CLOSE"")"),"N/A")</f>
        <v>N/A</v>
      </c>
      <c r="BL677" s="257" t="str">
        <f ca="1">IFERROR(_xll.FDS(MO.Ticker.FactSet,"P_PRICE_LOW"&amp;"("&amp;INDEX(MO_SNA_FPStartDate,0,COLUMN())&amp;","&amp;INDEX(MO_Common_QEndDate,0,COLUMN())&amp;",,,,""PRICE"",""CLOSE"")"),"N/A")</f>
        <v>N/A</v>
      </c>
      <c r="BM677" s="257" t="str">
        <f ca="1">IFERROR(_xll.FDS(MO.Ticker.FactSet,"P_PRICE_LOW"&amp;"("&amp;INDEX(MO_SNA_FPStartDate,0,COLUMN())&amp;","&amp;INDEX(MO_Common_QEndDate,0,COLUMN())&amp;",,,,""PRICE"",""CLOSE"")"),"N/A")</f>
        <v>N/A</v>
      </c>
      <c r="BN677" s="257" t="str">
        <f ca="1">IFERROR(_xll.FDS(MO.Ticker.FactSet,"P_PRICE_LOW"&amp;"("&amp;INDEX(MO_SNA_FPStartDate,0,COLUMN())&amp;","&amp;INDEX(MO_Common_QEndDate,0,COLUMN())&amp;",,,,""PRICE"",""CLOSE"")"),"N/A")</f>
        <v>N/A</v>
      </c>
      <c r="BO677" s="257" t="str">
        <f ca="1">IFERROR(_xll.FDS(MO.Ticker.FactSet,"P_PRICE_LOW"&amp;"("&amp;INDEX(MO_SNA_FPStartDate,0,COLUMN())&amp;","&amp;INDEX(MO_Common_QEndDate,0,COLUMN())&amp;",,,,""PRICE"",""CLOSE"")"),"N/A")</f>
        <v>N/A</v>
      </c>
      <c r="BP677" s="289" t="str">
        <f ca="1">IFERROR(_xll.FDS(MO.Ticker.FactSet,"P_PRICE_LOW"&amp;"("&amp;INDEX(MO_SNA_FPStartDate,0,COLUMN())&amp;","&amp;INDEX(MO_Common_QEndDate,0,COLUMN())&amp;",,,,""PRICE"",""CLOSE"")"),"N/A")</f>
        <v>N/A</v>
      </c>
      <c r="BQ677" s="289" t="str">
        <f ca="1">IFERROR(_xll.FDS(MO.Ticker.FactSet,"P_PRICE_LOW"&amp;"("&amp;INDEX(MO_SNA_FPStartDate,0,COLUMN())&amp;","&amp;INDEX(MO_Common_QEndDate,0,COLUMN())&amp;",,,,""PRICE"",""CLOSE"")"),"N/A")</f>
        <v>N/A</v>
      </c>
      <c r="BR677" s="258" t="str">
        <f ca="1">IFERROR(_xll.FDS(MO.Ticker.FactSet,"P_PRICE_LOW"&amp;"("&amp;INDEX(MO_SNA_FPStartDate,0,COLUMN())&amp;","&amp;INDEX(MO_Common_QEndDate,0,COLUMN())&amp;",,,,""PRICE"",""CLOSE"")"),"N/A")</f>
        <v>N/A</v>
      </c>
      <c r="BS677" s="371"/>
    </row>
    <row r="678" spans="1:71" s="690" customFormat="1" ht="15" hidden="1" outlineLevel="1">
      <c r="A678" s="259" t="s">
        <v>513</v>
      </c>
      <c r="B678" s="257"/>
      <c r="C678" s="436" t="str">
        <f ca="1">IFERROR(_xll.TR(MO.Ticker.Thomson,"Min(TR.PriceLow)","sdate:#1 edate:#2",,INDEX(MO_SNA_FPStartDate,0,COLUMN()),INDEX(MO_Common_QEndDate,0,COLUMN())),"N/A")</f>
        <v>N/A</v>
      </c>
      <c r="D678" s="436" t="str">
        <f ca="1">IFERROR(_xll.TR(MO.Ticker.Thomson,"Min(TR.PriceLow)","sdate:#1 edate:#2",,INDEX(MO_SNA_FPStartDate,0,COLUMN()),INDEX(MO_Common_QEndDate,0,COLUMN())),"N/A")</f>
        <v>N/A</v>
      </c>
      <c r="E678" s="289" t="str">
        <f ca="1">IFERROR(_xll.TR(MO.Ticker.Thomson,"Min(TR.PriceLow)","sdate:#1 edate:#2",,INDEX(MO_SNA_FPStartDate,0,COLUMN()),INDEX(MO_Common_QEndDate,0,COLUMN())),"N/A")</f>
        <v>N/A</v>
      </c>
      <c r="F678" s="289" t="str">
        <f ca="1">IFERROR(_xll.TR(MO.Ticker.Thomson,"Min(TR.PriceLow)","sdate:#1 edate:#2",,INDEX(MO_SNA_FPStartDate,0,COLUMN()),INDEX(MO_Common_QEndDate,0,COLUMN())),"N/A")</f>
        <v>N/A</v>
      </c>
      <c r="G678" s="289" t="str">
        <f ca="1">IFERROR(_xll.TR(MO.Ticker.Thomson,"Min(TR.PriceLow)","sdate:#1 edate:#2",,INDEX(MO_SNA_FPStartDate,0,COLUMN()),INDEX(MO_Common_QEndDate,0,COLUMN())),"N/A")</f>
        <v>N/A</v>
      </c>
      <c r="H678" s="289" t="str">
        <f ca="1">IFERROR(_xll.TR(MO.Ticker.Thomson,"Min(TR.PriceLow)","sdate:#1 edate:#2",,INDEX(MO_SNA_FPStartDate,0,COLUMN()),INDEX(MO_Common_QEndDate,0,COLUMN())),"N/A")</f>
        <v>N/A</v>
      </c>
      <c r="I678" s="289" t="str">
        <f ca="1">IFERROR(_xll.TR(MO.Ticker.Thomson,"Min(TR.PriceLow)","sdate:#1 edate:#2",,INDEX(MO_SNA_FPStartDate,0,COLUMN()),INDEX(MO_Common_QEndDate,0,COLUMN())),"N/A")</f>
        <v>N/A</v>
      </c>
      <c r="J678" s="289" t="str">
        <f ca="1">IFERROR(_xll.TR(MO.Ticker.Thomson,"Min(TR.PriceLow)","sdate:#1 edate:#2",,INDEX(MO_SNA_FPStartDate,0,COLUMN()),INDEX(MO_Common_QEndDate,0,COLUMN())),"N/A")</f>
        <v>N/A</v>
      </c>
      <c r="K678" s="289" t="str">
        <f ca="1">IFERROR(_xll.TR(MO.Ticker.Thomson,"Min(TR.PriceLow)","sdate:#1 edate:#2",,INDEX(MO_SNA_FPStartDate,0,COLUMN()),INDEX(MO_Common_QEndDate,0,COLUMN())),"N/A")</f>
        <v>N/A</v>
      </c>
      <c r="L678" s="289" t="str">
        <f ca="1">IFERROR(_xll.TR(MO.Ticker.Thomson,"Min(TR.PriceLow)","sdate:#1 edate:#2",,INDEX(MO_SNA_FPStartDate,0,COLUMN()),INDEX(MO_Common_QEndDate,0,COLUMN())),"N/A")</f>
        <v>N/A</v>
      </c>
      <c r="M678" s="289" t="str">
        <f ca="1">IFERROR(_xll.TR(MO.Ticker.Thomson,"Min(TR.PriceLow)","sdate:#1 edate:#2",,INDEX(MO_SNA_FPStartDate,0,COLUMN()),INDEX(MO_Common_QEndDate,0,COLUMN())),"N/A")</f>
        <v>N/A</v>
      </c>
      <c r="N678" s="289" t="str">
        <f ca="1">IFERROR(_xll.TR(MO.Ticker.Thomson,"Min(TR.PriceLow)","sdate:#1 edate:#2",,INDEX(MO_SNA_FPStartDate,0,COLUMN()),INDEX(MO_Common_QEndDate,0,COLUMN())),"N/A")</f>
        <v>N/A</v>
      </c>
      <c r="O678" s="289" t="str">
        <f ca="1">IFERROR(_xll.TR(MO.Ticker.Thomson,"Min(TR.PriceLow)","sdate:#1 edate:#2",,INDEX(MO_SNA_FPStartDate,0,COLUMN()),INDEX(MO_Common_QEndDate,0,COLUMN())),"N/A")</f>
        <v>N/A</v>
      </c>
      <c r="P678" s="289" t="str">
        <f ca="1">IFERROR(_xll.TR(MO.Ticker.Thomson,"Min(TR.PriceLow)","sdate:#1 edate:#2",,INDEX(MO_SNA_FPStartDate,0,COLUMN()),INDEX(MO_Common_QEndDate,0,COLUMN())),"N/A")</f>
        <v>N/A</v>
      </c>
      <c r="Q678" s="289" t="str">
        <f ca="1">IFERROR(_xll.TR(MO.Ticker.Thomson,"Min(TR.PriceLow)","sdate:#1 edate:#2",,INDEX(MO_SNA_FPStartDate,0,COLUMN()),INDEX(MO_Common_QEndDate,0,COLUMN())),"N/A")</f>
        <v>N/A</v>
      </c>
      <c r="R678" s="289" t="str">
        <f ca="1">IFERROR(_xll.TR(MO.Ticker.Thomson,"Min(TR.PriceLow)","sdate:#1 edate:#2",,INDEX(MO_SNA_FPStartDate,0,COLUMN()),INDEX(MO_Common_QEndDate,0,COLUMN())),"N/A")</f>
        <v>N/A</v>
      </c>
      <c r="S678" s="289" t="str">
        <f ca="1">IFERROR(_xll.TR(MO.Ticker.Thomson,"Min(TR.PriceLow)","sdate:#1 edate:#2",,INDEX(MO_SNA_FPStartDate,0,COLUMN()),INDEX(MO_Common_QEndDate,0,COLUMN())),"N/A")</f>
        <v>N/A</v>
      </c>
      <c r="T678" s="289" t="str">
        <f ca="1">IFERROR(_xll.TR(MO.Ticker.Thomson,"Min(TR.PriceLow)","sdate:#1 edate:#2",,INDEX(MO_SNA_FPStartDate,0,COLUMN()),INDEX(MO_Common_QEndDate,0,COLUMN())),"N/A")</f>
        <v>N/A</v>
      </c>
      <c r="U678" s="289" t="str">
        <f ca="1">IFERROR(_xll.TR(MO.Ticker.Thomson,"Min(TR.PriceLow)","sdate:#1 edate:#2",,INDEX(MO_SNA_FPStartDate,0,COLUMN()),INDEX(MO_Common_QEndDate,0,COLUMN())),"N/A")</f>
        <v>N/A</v>
      </c>
      <c r="V678" s="289" t="str">
        <f ca="1">IFERROR(_xll.TR(MO.Ticker.Thomson,"Min(TR.PriceLow)","sdate:#1 edate:#2",,INDEX(MO_SNA_FPStartDate,0,COLUMN()),INDEX(MO_Common_QEndDate,0,COLUMN())),"N/A")</f>
        <v>N/A</v>
      </c>
      <c r="W678" s="289" t="str">
        <f ca="1">IFERROR(_xll.TR(MO.Ticker.Thomson,"Min(TR.PriceLow)","sdate:#1 edate:#2",,INDEX(MO_SNA_FPStartDate,0,COLUMN()),INDEX(MO_Common_QEndDate,0,COLUMN())),"N/A")</f>
        <v>N/A</v>
      </c>
      <c r="X678" s="289" t="str">
        <f ca="1">IFERROR(_xll.TR(MO.Ticker.Thomson,"Min(TR.PriceLow)","sdate:#1 edate:#2",,INDEX(MO_SNA_FPStartDate,0,COLUMN()),INDEX(MO_Common_QEndDate,0,COLUMN())),"N/A")</f>
        <v>N/A</v>
      </c>
      <c r="Y678" s="289" t="str">
        <f ca="1">IFERROR(_xll.TR(MO.Ticker.Thomson,"Min(TR.PriceLow)","sdate:#1 edate:#2",,INDEX(MO_SNA_FPStartDate,0,COLUMN()),INDEX(MO_Common_QEndDate,0,COLUMN())),"N/A")</f>
        <v>N/A</v>
      </c>
      <c r="Z678" s="289" t="str">
        <f ca="1">IFERROR(_xll.TR(MO.Ticker.Thomson,"Min(TR.PriceLow)","sdate:#1 edate:#2",,INDEX(MO_SNA_FPStartDate,0,COLUMN()),INDEX(MO_Common_QEndDate,0,COLUMN())),"N/A")</f>
        <v>N/A</v>
      </c>
      <c r="AA678" s="289" t="str">
        <f ca="1">IFERROR(_xll.TR(MO.Ticker.Thomson,"Min(TR.PriceLow)","sdate:#1 edate:#2",,INDEX(MO_SNA_FPStartDate,0,COLUMN()),INDEX(MO_Common_QEndDate,0,COLUMN())),"N/A")</f>
        <v>N/A</v>
      </c>
      <c r="AB678" s="289" t="str">
        <f ca="1">IFERROR(_xll.TR(MO.Ticker.Thomson,"Min(TR.PriceLow)","sdate:#1 edate:#2",,INDEX(MO_SNA_FPStartDate,0,COLUMN()),INDEX(MO_Common_QEndDate,0,COLUMN())),"N/A")</f>
        <v>N/A</v>
      </c>
      <c r="AC678" s="289" t="str">
        <f ca="1">IFERROR(_xll.TR(MO.Ticker.Thomson,"Min(TR.PriceLow)","sdate:#1 edate:#2",,INDEX(MO_SNA_FPStartDate,0,COLUMN()),INDEX(MO_Common_QEndDate,0,COLUMN())),"N/A")</f>
        <v>N/A</v>
      </c>
      <c r="AD678" s="289" t="str">
        <f ca="1">IFERROR(_xll.TR(MO.Ticker.Thomson,"Min(TR.PriceLow)","sdate:#1 edate:#2",,INDEX(MO_SNA_FPStartDate,0,COLUMN()),INDEX(MO_Common_QEndDate,0,COLUMN())),"N/A")</f>
        <v>N/A</v>
      </c>
      <c r="AE678" s="289" t="str">
        <f ca="1">IFERROR(_xll.TR(MO.Ticker.Thomson,"Min(TR.PriceLow)","sdate:#1 edate:#2",,INDEX(MO_SNA_FPStartDate,0,COLUMN()),INDEX(MO_Common_QEndDate,0,COLUMN())),"N/A")</f>
        <v>N/A</v>
      </c>
      <c r="AF678" s="289" t="str">
        <f ca="1">IFERROR(_xll.TR(MO.Ticker.Thomson,"Min(TR.PriceLow)","sdate:#1 edate:#2",,INDEX(MO_SNA_FPStartDate,0,COLUMN()),INDEX(MO_Common_QEndDate,0,COLUMN())),"N/A")</f>
        <v>N/A</v>
      </c>
      <c r="AG678" s="289" t="str">
        <f ca="1">IFERROR(_xll.TR(MO.Ticker.Thomson,"Min(TR.PriceLow)","sdate:#1 edate:#2",,INDEX(MO_SNA_FPStartDate,0,COLUMN()),INDEX(MO_Common_QEndDate,0,COLUMN())),"N/A")</f>
        <v>N/A</v>
      </c>
      <c r="AH678" s="289" t="str">
        <f ca="1">IFERROR(_xll.TR(MO.Ticker.Thomson,"Min(TR.PriceLow)","sdate:#1 edate:#2",,INDEX(MO_SNA_FPStartDate,0,COLUMN()),INDEX(MO_Common_QEndDate,0,COLUMN())),"N/A")</f>
        <v>N/A</v>
      </c>
      <c r="AI678" s="289" t="str">
        <f ca="1">IFERROR(_xll.TR(MO.Ticker.Thomson,"Min(TR.PriceLow)","sdate:#1 edate:#2",,INDEX(MO_SNA_FPStartDate,0,COLUMN()),INDEX(MO_Common_QEndDate,0,COLUMN())),"N/A")</f>
        <v>N/A</v>
      </c>
      <c r="AJ678" s="289" t="str">
        <f ca="1">IFERROR(_xll.TR(MO.Ticker.Thomson,"Min(TR.PriceLow)","sdate:#1 edate:#2",,INDEX(MO_SNA_FPStartDate,0,COLUMN()),INDEX(MO_Common_QEndDate,0,COLUMN())),"N/A")</f>
        <v>N/A</v>
      </c>
      <c r="AK678" s="289" t="str">
        <f ca="1">IFERROR(_xll.TR(MO.Ticker.Thomson,"Min(TR.PriceLow)","sdate:#1 edate:#2",,INDEX(MO_SNA_FPStartDate,0,COLUMN()),INDEX(MO_Common_QEndDate,0,COLUMN())),"N/A")</f>
        <v>N/A</v>
      </c>
      <c r="AL678" s="289" t="str">
        <f ca="1">IFERROR(_xll.TR(MO.Ticker.Thomson,"Min(TR.PriceLow)","sdate:#1 edate:#2",,INDEX(MO_SNA_FPStartDate,0,COLUMN()),INDEX(MO_Common_QEndDate,0,COLUMN())),"N/A")</f>
        <v>N/A</v>
      </c>
      <c r="AM678" s="289" t="str">
        <f ca="1">IFERROR(_xll.TR(MO.Ticker.Thomson,"Min(TR.PriceLow)","sdate:#1 edate:#2",,INDEX(MO_SNA_FPStartDate,0,COLUMN()),INDEX(MO_Common_QEndDate,0,COLUMN())),"N/A")</f>
        <v>N/A</v>
      </c>
      <c r="AN678" s="289" t="str">
        <f ca="1">IFERROR(_xll.TR(MO.Ticker.Thomson,"Min(TR.PriceLow)","sdate:#1 edate:#2",,INDEX(MO_SNA_FPStartDate,0,COLUMN()),INDEX(MO_Common_QEndDate,0,COLUMN())),"N/A")</f>
        <v>N/A</v>
      </c>
      <c r="AO678" s="289" t="str">
        <f ca="1">IFERROR(_xll.TR(MO.Ticker.Thomson,"Min(TR.PriceLow)","sdate:#1 edate:#2",,INDEX(MO_SNA_FPStartDate,0,COLUMN()),INDEX(MO_Common_QEndDate,0,COLUMN())),"N/A")</f>
        <v>N/A</v>
      </c>
      <c r="AP678" s="289" t="str">
        <f ca="1">IFERROR(_xll.TR(MO.Ticker.Thomson,"Min(TR.PriceLow)","sdate:#1 edate:#2",,INDEX(MO_SNA_FPStartDate,0,COLUMN()),INDEX(MO_Common_QEndDate,0,COLUMN())),"N/A")</f>
        <v>N/A</v>
      </c>
      <c r="AQ678" s="289" t="str">
        <f ca="1">IFERROR(_xll.TR(MO.Ticker.Thomson,"Min(TR.PriceLow)","sdate:#1 edate:#2",,INDEX(MO_SNA_FPStartDate,0,COLUMN()),INDEX(MO_Common_QEndDate,0,COLUMN())),"N/A")</f>
        <v>N/A</v>
      </c>
      <c r="AR678" s="289" t="str">
        <f ca="1">IFERROR(_xll.TR(MO.Ticker.Thomson,"Min(TR.PriceLow)","sdate:#1 edate:#2",,INDEX(MO_SNA_FPStartDate,0,COLUMN()),INDEX(MO_Common_QEndDate,0,COLUMN())),"N/A")</f>
        <v>N/A</v>
      </c>
      <c r="AS678" s="289" t="str">
        <f ca="1">IFERROR(_xll.TR(MO.Ticker.Thomson,"Min(TR.PriceLow)","sdate:#1 edate:#2",,INDEX(MO_SNA_FPStartDate,0,COLUMN()),INDEX(MO_Common_QEndDate,0,COLUMN())),"N/A")</f>
        <v>N/A</v>
      </c>
      <c r="AT678" s="289" t="str">
        <f ca="1">IFERROR(_xll.TR(MO.Ticker.Thomson,"Min(TR.PriceLow)","sdate:#1 edate:#2",,INDEX(MO_SNA_FPStartDate,0,COLUMN()),INDEX(MO_Common_QEndDate,0,COLUMN())),"N/A")</f>
        <v>N/A</v>
      </c>
      <c r="AU678" s="289" t="str">
        <f ca="1">IFERROR(_xll.TR(MO.Ticker.Thomson,"Min(TR.PriceLow)","sdate:#1 edate:#2",,INDEX(MO_SNA_FPStartDate,0,COLUMN()),INDEX(MO_Common_QEndDate,0,COLUMN())),"N/A")</f>
        <v>N/A</v>
      </c>
      <c r="AV678" s="289" t="str">
        <f ca="1">IFERROR(_xll.TR(MO.Ticker.Thomson,"Min(TR.PriceLow)","sdate:#1 edate:#2",,INDEX(MO_SNA_FPStartDate,0,COLUMN()),INDEX(MO_Common_QEndDate,0,COLUMN())),"N/A")</f>
        <v>N/A</v>
      </c>
      <c r="AW678" s="289" t="str">
        <f ca="1">IFERROR(_xll.TR(MO.Ticker.Thomson,"Min(TR.PriceLow)","sdate:#1 edate:#2",,INDEX(MO_SNA_FPStartDate,0,COLUMN()),INDEX(MO_Common_QEndDate,0,COLUMN())),"N/A")</f>
        <v>N/A</v>
      </c>
      <c r="AX678" s="289" t="str">
        <f ca="1">IFERROR(_xll.TR(MO.Ticker.Thomson,"Min(TR.PriceLow)","sdate:#1 edate:#2",,INDEX(MO_SNA_FPStartDate,0,COLUMN()),INDEX(MO_Common_QEndDate,0,COLUMN())),"N/A")</f>
        <v>N/A</v>
      </c>
      <c r="AY678" s="289" t="str">
        <f ca="1">IFERROR(_xll.TR(MO.Ticker.Thomson,"Min(TR.PriceLow)","sdate:#1 edate:#2",,INDEX(MO_SNA_FPStartDate,0,COLUMN()),INDEX(MO_Common_QEndDate,0,COLUMN())),"N/A")</f>
        <v>N/A</v>
      </c>
      <c r="AZ678" s="289" t="str">
        <f ca="1">IFERROR(_xll.TR(MO.Ticker.Thomson,"Min(TR.PriceLow)","sdate:#1 edate:#2",,INDEX(MO_SNA_FPStartDate,0,COLUMN()),INDEX(MO_Common_QEndDate,0,COLUMN())),"N/A")</f>
        <v>N/A</v>
      </c>
      <c r="BA678" s="289" t="str">
        <f ca="1">IFERROR(_xll.TR(MO.Ticker.Thomson,"Min(TR.PriceLow)","sdate:#1 edate:#2",,INDEX(MO_SNA_FPStartDate,0,COLUMN()),INDEX(MO_Common_QEndDate,0,COLUMN())),"N/A")</f>
        <v>N/A</v>
      </c>
      <c r="BB678" s="289" t="str">
        <f ca="1">IFERROR(_xll.TR(MO.Ticker.Thomson,"Min(TR.PriceLow)","sdate:#1 edate:#2",,INDEX(MO_SNA_FPStartDate,0,COLUMN()),INDEX(MO_Common_QEndDate,0,COLUMN())),"N/A")</f>
        <v>N/A</v>
      </c>
      <c r="BC678" s="289" t="str">
        <f ca="1">IFERROR(_xll.TR(MO.Ticker.Thomson,"Min(TR.PriceLow)","sdate:#1 edate:#2",,INDEX(MO_SNA_FPStartDate,0,COLUMN()),INDEX(MO_Common_QEndDate,0,COLUMN())),"N/A")</f>
        <v>N/A</v>
      </c>
      <c r="BD678" s="289" t="str">
        <f ca="1">IFERROR(_xll.TR(MO.Ticker.Thomson,"Min(TR.PriceLow)","sdate:#1 edate:#2",,INDEX(MO_SNA_FPStartDate,0,COLUMN()),INDEX(MO_Common_QEndDate,0,COLUMN())),"N/A")</f>
        <v>N/A</v>
      </c>
      <c r="BE678" s="289" t="str">
        <f ca="1">IFERROR(_xll.TR(MO.Ticker.Thomson,"Min(TR.PriceLow)","sdate:#1 edate:#2",,INDEX(MO_SNA_FPStartDate,0,COLUMN()),INDEX(MO_Common_QEndDate,0,COLUMN())),"N/A")</f>
        <v>N/A</v>
      </c>
      <c r="BF678" s="289" t="str">
        <f ca="1">IFERROR(_xll.TR(MO.Ticker.Thomson,"Min(TR.PriceLow)","sdate:#1 edate:#2",,INDEX(MO_SNA_FPStartDate,0,COLUMN()),INDEX(MO_Common_QEndDate,0,COLUMN())),"N/A")</f>
        <v>N/A</v>
      </c>
      <c r="BG678" s="289" t="str">
        <f ca="1">IFERROR(_xll.TR(MO.Ticker.Thomson,"Min(TR.PriceLow)","sdate:#1 edate:#2",,INDEX(MO_SNA_FPStartDate,0,COLUMN()),INDEX(MO_Common_QEndDate,0,COLUMN())),"N/A")</f>
        <v>N/A</v>
      </c>
      <c r="BH678" s="266" t="str">
        <f ca="1">IFERROR(_xll.TR(MO.Ticker.Thomson,"Min(TR.PriceLow)","sdate:#1 edate:#2",,INDEX(MO_SNA_FPStartDate,0,COLUMN()),INDEX(MO_Common_QEndDate,0,COLUMN())),"N/A")</f>
        <v>N/A</v>
      </c>
      <c r="BI678" s="257" t="str">
        <f ca="1">IFERROR(_xll.TR(MO.Ticker.Thomson,"Min(TR.PriceLow)","sdate:#1 edate:#2",,INDEX(MO_SNA_FPStartDate,0,COLUMN()),INDEX(MO_Common_QEndDate,0,COLUMN())),"N/A")</f>
        <v>N/A</v>
      </c>
      <c r="BJ678" s="257" t="str">
        <f ca="1">IFERROR(_xll.TR(MO.Ticker.Thomson,"Min(TR.PriceLow)","sdate:#1 edate:#2",,INDEX(MO_SNA_FPStartDate,0,COLUMN()),INDEX(MO_Common_QEndDate,0,COLUMN())),"N/A")</f>
        <v>N/A</v>
      </c>
      <c r="BK678" s="257" t="str">
        <f ca="1">IFERROR(_xll.TR(MO.Ticker.Thomson,"Min(TR.PriceLow)","sdate:#1 edate:#2",,INDEX(MO_SNA_FPStartDate,0,COLUMN()),INDEX(MO_Common_QEndDate,0,COLUMN())),"N/A")</f>
        <v>N/A</v>
      </c>
      <c r="BL678" s="257" t="str">
        <f ca="1">IFERROR(_xll.TR(MO.Ticker.Thomson,"Min(TR.PriceLow)","sdate:#1 edate:#2",,INDEX(MO_SNA_FPStartDate,0,COLUMN()),INDEX(MO_Common_QEndDate,0,COLUMN())),"N/A")</f>
        <v>N/A</v>
      </c>
      <c r="BM678" s="257" t="str">
        <f ca="1">IFERROR(_xll.TR(MO.Ticker.Thomson,"Min(TR.PriceLow)","sdate:#1 edate:#2",,INDEX(MO_SNA_FPStartDate,0,COLUMN()),INDEX(MO_Common_QEndDate,0,COLUMN())),"N/A")</f>
        <v>N/A</v>
      </c>
      <c r="BN678" s="257" t="str">
        <f ca="1">IFERROR(_xll.TR(MO.Ticker.Thomson,"Min(TR.PriceLow)","sdate:#1 edate:#2",,INDEX(MO_SNA_FPStartDate,0,COLUMN()),INDEX(MO_Common_QEndDate,0,COLUMN())),"N/A")</f>
        <v>N/A</v>
      </c>
      <c r="BO678" s="257" t="str">
        <f ca="1">IFERROR(_xll.TR(MO.Ticker.Thomson,"Min(TR.PriceLow)","sdate:#1 edate:#2",,INDEX(MO_SNA_FPStartDate,0,COLUMN()),INDEX(MO_Common_QEndDate,0,COLUMN())),"N/A")</f>
        <v>N/A</v>
      </c>
      <c r="BP678" s="289" t="str">
        <f ca="1">IFERROR(_xll.TR(MO.Ticker.Thomson,"Min(TR.PriceLow)","sdate:#1 edate:#2",,INDEX(MO_SNA_FPStartDate,0,COLUMN()),INDEX(MO_Common_QEndDate,0,COLUMN())),"N/A")</f>
        <v>N/A</v>
      </c>
      <c r="BQ678" s="289" t="str">
        <f ca="1">IFERROR(_xll.TR(MO.Ticker.Thomson,"Min(TR.PriceLow)","sdate:#1 edate:#2",,INDEX(MO_SNA_FPStartDate,0,COLUMN()),INDEX(MO_Common_QEndDate,0,COLUMN())),"N/A")</f>
        <v>N/A</v>
      </c>
      <c r="BR678" s="258" t="str">
        <f ca="1">IFERROR(_xll.TR(MO.Ticker.Thomson,"Min(TR.PriceLow)","sdate:#1 edate:#2",,INDEX(MO_SNA_FPStartDate,0,COLUMN()),INDEX(MO_Common_QEndDate,0,COLUMN())),"N/A")</f>
        <v>N/A</v>
      </c>
      <c r="BS678" s="371"/>
    </row>
    <row r="679" spans="1:71" s="692" customFormat="1" ht="15" hidden="1" outlineLevel="1">
      <c r="A679" s="245"/>
      <c r="B679" s="954"/>
      <c r="C679" s="437"/>
      <c r="D679" s="437"/>
      <c r="E679" s="952"/>
      <c r="F679" s="952"/>
      <c r="G679" s="952"/>
      <c r="H679" s="952"/>
      <c r="I679" s="952"/>
      <c r="J679" s="952"/>
      <c r="K679" s="952"/>
      <c r="L679" s="952"/>
      <c r="M679" s="952"/>
      <c r="N679" s="952"/>
      <c r="O679" s="952"/>
      <c r="P679" s="952"/>
      <c r="Q679" s="952"/>
      <c r="R679" s="952"/>
      <c r="S679" s="952"/>
      <c r="T679" s="952"/>
      <c r="U679" s="952"/>
      <c r="V679" s="952"/>
      <c r="W679" s="952"/>
      <c r="X679" s="952"/>
      <c r="Y679" s="952"/>
      <c r="Z679" s="952"/>
      <c r="AA679" s="952"/>
      <c r="AB679" s="952"/>
      <c r="AC679" s="952"/>
      <c r="AD679" s="952"/>
      <c r="AE679" s="952"/>
      <c r="AF679" s="952"/>
      <c r="AG679" s="952"/>
      <c r="AH679" s="952"/>
      <c r="AI679" s="952"/>
      <c r="AJ679" s="952"/>
      <c r="AK679" s="952"/>
      <c r="AL679" s="952"/>
      <c r="AM679" s="952"/>
      <c r="AN679" s="952"/>
      <c r="AO679" s="952"/>
      <c r="AP679" s="952"/>
      <c r="AQ679" s="952"/>
      <c r="AR679" s="952"/>
      <c r="AS679" s="952"/>
      <c r="AT679" s="952"/>
      <c r="AU679" s="952"/>
      <c r="AV679" s="952"/>
      <c r="AW679" s="952"/>
      <c r="AX679" s="952"/>
      <c r="AY679" s="952"/>
      <c r="AZ679" s="952"/>
      <c r="BA679" s="952"/>
      <c r="BB679" s="952"/>
      <c r="BC679" s="952"/>
      <c r="BD679" s="952"/>
      <c r="BE679" s="952"/>
      <c r="BF679" s="952"/>
      <c r="BG679" s="952"/>
      <c r="BH679" s="953"/>
      <c r="BI679" s="954"/>
      <c r="BJ679" s="954"/>
      <c r="BK679" s="954"/>
      <c r="BL679" s="954"/>
      <c r="BM679" s="954"/>
      <c r="BN679" s="954"/>
      <c r="BO679" s="954"/>
      <c r="BP679" s="952"/>
      <c r="BQ679" s="952"/>
      <c r="BR679" s="244"/>
      <c r="BS679" s="366"/>
    </row>
    <row r="680" spans="1:71" s="690" customFormat="1" ht="15" collapsed="1">
      <c r="A680" s="256" t="str">
        <f ca="1">"Stock Average: "&amp;IF(OR(MO.RealTimeStockPriceToggle=FALSE,VLOOKUP(MO.DataSourceName,MO_SPT_StockAverage_Sources,COLUMN()+2,FALSE)="N/A"),"Real-Time Off Source",MO.DataSourceName)</f>
        <v>Stock Average: Real-Time Off Source</v>
      </c>
      <c r="B680" s="257"/>
      <c r="C680" s="436">
        <f ca="1" t="shared" si="1389" ref="C680:AK680">IF(OR(MO.RealTimeStockPriceToggle=FALSE,VLOOKUP(MO.DataSourceName,MO_SPT_StockAverage_Sources,COLUMN(),FALSE)="N/A"),VLOOKUP("Real-Time Off Source",MO_SPT_StockAverage_Sources,COLUMN(),FALSE),VLOOKUP(MO.DataSourceName,MO_SPT_StockAverage_Sources,COLUMN(),FALSE))</f>
        <v>19.70</v>
      </c>
      <c r="D680" s="436">
        <f t="shared" ca="1" si="1389"/>
        <v>28.325</v>
      </c>
      <c r="E680" s="289">
        <f t="shared" ca="1" si="1389"/>
        <v>33.475</v>
      </c>
      <c r="F680" s="289">
        <f t="shared" ca="1" si="1389"/>
        <v>38.39</v>
      </c>
      <c r="G680" s="289">
        <f t="shared" ca="1" si="1389"/>
        <v>49.10</v>
      </c>
      <c r="H680" s="289">
        <f t="shared" ca="1" si="1389"/>
        <v>55.575</v>
      </c>
      <c r="I680" s="289">
        <f t="shared" ca="1" si="1389"/>
        <v>57.745</v>
      </c>
      <c r="J680" s="289">
        <f t="shared" ca="1" si="1389"/>
        <v>58.105</v>
      </c>
      <c r="K680" s="289">
        <f t="shared" ca="1" si="1389"/>
        <v>58.59</v>
      </c>
      <c r="L680" s="289">
        <f t="shared" ca="1" si="1389"/>
        <v>57.50375</v>
      </c>
      <c r="M680" s="289">
        <f t="shared" ca="1" si="1389"/>
        <v>61.505</v>
      </c>
      <c r="N680" s="289">
        <f t="shared" ca="1" si="1389"/>
        <v>64.849999999999994</v>
      </c>
      <c r="O680" s="289">
        <f t="shared" ca="1" si="1389"/>
        <v>69.540000000000006</v>
      </c>
      <c r="P680" s="289">
        <f t="shared" ca="1" si="1389"/>
        <v>71.535</v>
      </c>
      <c r="Q680" s="289">
        <f t="shared" ca="1" si="1389"/>
        <v>66.8575</v>
      </c>
      <c r="R680" s="289">
        <f t="shared" ca="1" si="1389"/>
        <v>68.265</v>
      </c>
      <c r="S680" s="289">
        <f t="shared" ca="1" si="1389"/>
        <v>70.364999999999995</v>
      </c>
      <c r="T680" s="289">
        <f t="shared" ca="1" si="1389"/>
        <v>73.425</v>
      </c>
      <c r="U680" s="289">
        <f t="shared" ca="1" si="1389"/>
        <v>80.959999999999994</v>
      </c>
      <c r="V680" s="289">
        <f t="shared" ca="1" si="1389"/>
        <v>73.25375</v>
      </c>
      <c r="W680" s="289">
        <f t="shared" ca="1" si="1389"/>
        <v>91.285</v>
      </c>
      <c r="X680" s="289">
        <f t="shared" ca="1" si="1389"/>
        <v>98.22</v>
      </c>
      <c r="Y680" s="289">
        <f t="shared" ca="1" si="1389"/>
        <v>100.38500000000001</v>
      </c>
      <c r="Z680" s="289">
        <f t="shared" ca="1" si="1389"/>
        <v>105.215</v>
      </c>
      <c r="AA680" s="289">
        <f t="shared" ca="1" si="1389"/>
        <v>98.77625</v>
      </c>
      <c r="AB680" s="289">
        <f t="shared" ca="1" si="1389"/>
        <v>107.082101639344</v>
      </c>
      <c r="AC680" s="289">
        <f t="shared" ca="1" si="1389"/>
        <v>107.1839859375</v>
      </c>
      <c r="AD680" s="289">
        <f t="shared" ca="1" si="1389"/>
        <v>108.702717460317</v>
      </c>
      <c r="AE680" s="289">
        <f t="shared" ca="1" si="1389"/>
        <v>99.018801587301596</v>
      </c>
      <c r="AF680" s="289">
        <f t="shared" ca="1" si="1389"/>
        <v>105.49099203187301</v>
      </c>
      <c r="AG680" s="289">
        <f t="shared" ca="1" si="1389"/>
        <v>95.755737704918005</v>
      </c>
      <c r="AH680" s="289">
        <f t="shared" ca="1" si="1389"/>
        <v>100.563968253968</v>
      </c>
      <c r="AI680" s="289">
        <f t="shared" ca="1" si="1389"/>
        <v>103.520625</v>
      </c>
      <c r="AJ680" s="289">
        <f t="shared" ca="1" si="1389"/>
        <v>107.00390625</v>
      </c>
      <c r="AK680" s="289">
        <f t="shared" ca="1" si="1389"/>
        <v>101.786507936508</v>
      </c>
      <c r="AL680" s="289">
        <f ca="1" t="shared" si="1390" ref="AL680:AQ680">IF(OR(MO.RealTimeStockPriceToggle=FALSE,VLOOKUP(MO.DataSourceName,MO_SPT_StockAverage_Sources,COLUMN(),FALSE)="N/A"),VLOOKUP("Real-Time Off Source",MO_SPT_StockAverage_Sources,COLUMN(),FALSE),VLOOKUP(MO.DataSourceName,MO_SPT_StockAverage_Sources,COLUMN(),FALSE))</f>
        <v>96.511612903225796</v>
      </c>
      <c r="AM680" s="289">
        <f t="shared" ca="1" si="1390"/>
        <v>64.441111111111098</v>
      </c>
      <c r="AN680" s="289">
        <f t="shared" ca="1" si="1390"/>
        <v>64.40703125</v>
      </c>
      <c r="AO680" s="289">
        <f t="shared" ca="1" si="1390"/>
        <v>81.998906250000005</v>
      </c>
      <c r="AP680" s="289">
        <f t="shared" ca="1" si="1390"/>
        <v>76.733162055335896</v>
      </c>
      <c r="AQ680" s="289">
        <f t="shared" ca="1" si="1390"/>
        <v>103.331639344262</v>
      </c>
      <c r="AR680" s="289">
        <f ca="1" t="shared" si="1391" ref="AR680:AW680">IF(OR(MO.RealTimeStockPriceToggle=FALSE,VLOOKUP(MO.DataSourceName,MO_SPT_StockAverage_Sources,COLUMN(),FALSE)="N/A"),VLOOKUP("Real-Time Off Source",MO_SPT_StockAverage_Sources,COLUMN(),FALSE),VLOOKUP(MO.DataSourceName,MO_SPT_StockAverage_Sources,COLUMN(),FALSE))</f>
        <v>124.97190476190499</v>
      </c>
      <c r="AS680" s="289">
        <f t="shared" ca="1" si="1391"/>
        <v>130.59468749999999</v>
      </c>
      <c r="AT680" s="289">
        <f t="shared" ca="1" si="1391"/>
        <v>137.48546875</v>
      </c>
      <c r="AU680" s="289">
        <f t="shared" ca="1" si="1391"/>
        <v>124.33964285714301</v>
      </c>
      <c r="AV680" s="289">
        <f t="shared" ca="1" si="1391"/>
        <v>136.392258064516</v>
      </c>
      <c r="AW680" s="289">
        <f t="shared" ca="1" si="1391"/>
        <v>140.626451612903</v>
      </c>
      <c r="AX680" s="289">
        <f ca="1" t="shared" si="1392" ref="AX680:BJ680">IF(OR(MO.RealTimeStockPriceToggle=FALSE,VLOOKUP(MO.DataSourceName,MO_SPT_StockAverage_Sources,COLUMN(),FALSE)="N/A"),VLOOKUP("Real-Time Off Source",MO_SPT_StockAverage_Sources,COLUMN(),FALSE),VLOOKUP(MO.DataSourceName,MO_SPT_StockAverage_Sources,COLUMN(),FALSE))</f>
        <v>131.2134375</v>
      </c>
      <c r="AY680" s="289">
        <f t="shared" ca="1" si="1392"/>
        <v>137.05460317460299</v>
      </c>
      <c r="AZ680" s="289">
        <f t="shared" ca="1" si="1392"/>
        <v>136.28390438247001</v>
      </c>
      <c r="BA680" s="289">
        <f ca="1" t="shared" si="1393" ref="BA680:BI680">IF(OR(MO.RealTimeStockPriceToggle=FALSE,VLOOKUP(MO.DataSourceName,MO_SPT_StockAverage_Sources,COLUMN(),FALSE)="N/A"),VLOOKUP("Real-Time Off Source",MO_SPT_StockAverage_Sources,COLUMN(),FALSE),VLOOKUP(MO.DataSourceName,MO_SPT_StockAverage_Sources,COLUMN(),FALSE))</f>
        <v>131.80322580645199</v>
      </c>
      <c r="BB680" s="289">
        <f t="shared" ca="1" si="1393"/>
        <v>117.870967741936</v>
      </c>
      <c r="BC680" s="289">
        <f t="shared" ca="1" si="1393"/>
        <v>115.431904761905</v>
      </c>
      <c r="BD680" s="289">
        <f t="shared" ca="1" si="1393"/>
        <v>112.690952380952</v>
      </c>
      <c r="BE680" s="289">
        <f t="shared" ca="1" si="1393"/>
        <v>119.40616</v>
      </c>
      <c r="BF680" s="289">
        <f ca="1">IF(OR(MO.RealTimeStockPriceToggle=FALSE,VLOOKUP(MO.DataSourceName,MO_SPT_StockAverage_Sources,COLUMN(),FALSE)="N/A"),VLOOKUP("Real-Time Off Source",MO_SPT_StockAverage_Sources,COLUMN(),FALSE),VLOOKUP(MO.DataSourceName,MO_SPT_StockAverage_Sources,COLUMN(),FALSE))</f>
        <v>123.257737508197</v>
      </c>
      <c r="BG680" s="289">
        <f ca="1">IF(OR(MO.RealTimeStockPriceToggle=FALSE,VLOOKUP(MO.DataSourceName,MO_SPT_StockAverage_Sources,COLUMN(),FALSE)="N/A"),VLOOKUP("Real-Time Off Source",MO_SPT_StockAverage_Sources,COLUMN(),FALSE),VLOOKUP(MO.DataSourceName,MO_SPT_StockAverage_Sources,COLUMN(),FALSE))</f>
        <v>128.675238095238</v>
      </c>
      <c r="BH680" s="266">
        <f ca="1">IF(OR(MO.RealTimeStockPriceToggle=FALSE,VLOOKUP(MO.DataSourceName,MO_SPT_StockAverage_Sources,COLUMN(),FALSE)="N/A"),VLOOKUP("Real-Time Off Source",MO_SPT_StockAverage_Sources,COLUMN(),FALSE),VLOOKUP(MO.DataSourceName,MO_SPT_StockAverage_Sources,COLUMN(),FALSE))</f>
        <v>125.93406429687499</v>
      </c>
      <c r="BI680" s="257">
        <f t="shared" ca="1" si="1393"/>
        <v>0</v>
      </c>
      <c r="BJ680" s="257">
        <f t="shared" ca="1" si="1392"/>
        <v>0</v>
      </c>
      <c r="BK680" s="257">
        <f ca="1" t="shared" si="1394" ref="BK680:BR680">IF(OR(MO.RealTimeStockPriceToggle=FALSE,VLOOKUP(MO.DataSourceName,MO_SPT_StockAverage_Sources,COLUMN(),FALSE)="N/A"),VLOOKUP("Real-Time Off Source",MO_SPT_StockAverage_Sources,COLUMN(),FALSE),VLOOKUP(MO.DataSourceName,MO_SPT_StockAverage_Sources,COLUMN(),FALSE))</f>
        <v>0</v>
      </c>
      <c r="BL680" s="257">
        <f t="shared" ca="1" si="1394"/>
        <v>0</v>
      </c>
      <c r="BM680" s="257">
        <f t="shared" ca="1" si="1394"/>
        <v>0</v>
      </c>
      <c r="BN680" s="257">
        <f t="shared" ca="1" si="1394"/>
        <v>0</v>
      </c>
      <c r="BO680" s="257">
        <f t="shared" ca="1" si="1394"/>
        <v>0</v>
      </c>
      <c r="BP680" s="289">
        <f t="shared" ca="1" si="1394"/>
        <v>0</v>
      </c>
      <c r="BQ680" s="289">
        <f t="shared" ca="1" si="1394"/>
        <v>0</v>
      </c>
      <c r="BR680" s="258">
        <f t="shared" ca="1" si="1394"/>
        <v>0</v>
      </c>
      <c r="BS680" s="371"/>
    </row>
    <row r="681" spans="1:71" s="690" customFormat="1" ht="15" hidden="1" outlineLevel="1">
      <c r="A681" s="259" t="s">
        <v>395</v>
      </c>
      <c r="B681" s="257"/>
      <c r="C681" s="1097">
        <v>19.70</v>
      </c>
      <c r="D681" s="1097">
        <v>28.325</v>
      </c>
      <c r="E681" s="1098">
        <v>33.475</v>
      </c>
      <c r="F681" s="1098">
        <v>38.39</v>
      </c>
      <c r="G681" s="1098">
        <v>49.10</v>
      </c>
      <c r="H681" s="1098">
        <v>55.575</v>
      </c>
      <c r="I681" s="1098">
        <v>57.745</v>
      </c>
      <c r="J681" s="1098">
        <v>58.105</v>
      </c>
      <c r="K681" s="1098">
        <v>58.59</v>
      </c>
      <c r="L681" s="1098">
        <v>57.50375</v>
      </c>
      <c r="M681" s="1098">
        <v>61.505</v>
      </c>
      <c r="N681" s="1098">
        <v>64.849999999999994</v>
      </c>
      <c r="O681" s="1098">
        <v>69.540000000000006</v>
      </c>
      <c r="P681" s="1098">
        <v>71.535</v>
      </c>
      <c r="Q681" s="1098">
        <v>66.8575</v>
      </c>
      <c r="R681" s="1098">
        <v>68.265</v>
      </c>
      <c r="S681" s="1098">
        <v>70.364999999999995</v>
      </c>
      <c r="T681" s="1098">
        <v>73.425</v>
      </c>
      <c r="U681" s="1098">
        <v>80.959999999999994</v>
      </c>
      <c r="V681" s="1098">
        <v>73.25375</v>
      </c>
      <c r="W681" s="1098">
        <v>91.285</v>
      </c>
      <c r="X681" s="1098">
        <v>98.22</v>
      </c>
      <c r="Y681" s="1098">
        <v>100.38500000000001</v>
      </c>
      <c r="Z681" s="1098">
        <v>105.215</v>
      </c>
      <c r="AA681" s="1098">
        <v>98.77625</v>
      </c>
      <c r="AB681" s="1098">
        <v>107.082101639344</v>
      </c>
      <c r="AC681" s="1098">
        <v>107.1839859375</v>
      </c>
      <c r="AD681" s="1098">
        <v>108.702717460317</v>
      </c>
      <c r="AE681" s="1098">
        <v>99.018801587301596</v>
      </c>
      <c r="AF681" s="1098">
        <v>105.49099203187301</v>
      </c>
      <c r="AG681" s="1098">
        <v>95.755737704918005</v>
      </c>
      <c r="AH681" s="1098">
        <v>100.563968253968</v>
      </c>
      <c r="AI681" s="1098">
        <v>103.520625</v>
      </c>
      <c r="AJ681" s="1098">
        <v>107.00390625</v>
      </c>
      <c r="AK681" s="1098">
        <v>101.786507936508</v>
      </c>
      <c r="AL681" s="1098">
        <v>96.511612903225796</v>
      </c>
      <c r="AM681" s="1098">
        <v>64.441111111111098</v>
      </c>
      <c r="AN681" s="1098">
        <v>64.40703125</v>
      </c>
      <c r="AO681" s="1098">
        <v>81.998906250000005</v>
      </c>
      <c r="AP681" s="1098">
        <v>76.733162055335896</v>
      </c>
      <c r="AQ681" s="1098">
        <v>103.331639344262</v>
      </c>
      <c r="AR681" s="1098">
        <v>124.97190476190499</v>
      </c>
      <c r="AS681" s="1098">
        <v>130.59468749999999</v>
      </c>
      <c r="AT681" s="1098">
        <v>137.48546875</v>
      </c>
      <c r="AU681" s="1098">
        <v>124.33964285714301</v>
      </c>
      <c r="AV681" s="1098">
        <v>136.392258064516</v>
      </c>
      <c r="AW681" s="1098">
        <v>140.626451612903</v>
      </c>
      <c r="AX681" s="1098">
        <v>131.2134375</v>
      </c>
      <c r="AY681" s="1098">
        <v>137.05460317460299</v>
      </c>
      <c r="AZ681" s="1098">
        <v>136.28390438247001</v>
      </c>
      <c r="BA681" s="1098">
        <v>131.80322580645199</v>
      </c>
      <c r="BB681" s="1098">
        <v>117.870967741936</v>
      </c>
      <c r="BC681" s="1098">
        <v>115.431904761905</v>
      </c>
      <c r="BD681" s="1098">
        <v>112.690952380952</v>
      </c>
      <c r="BE681" s="1098">
        <v>119.40616</v>
      </c>
      <c r="BF681" s="1098">
        <v>123.257737508197</v>
      </c>
      <c r="BG681" s="1098">
        <v>128.675238095238</v>
      </c>
      <c r="BH681" s="1099">
        <v>125.93406429687499</v>
      </c>
      <c r="BI681" s="257"/>
      <c r="BJ681" s="257"/>
      <c r="BK681" s="257"/>
      <c r="BL681" s="257"/>
      <c r="BM681" s="257"/>
      <c r="BN681" s="257"/>
      <c r="BO681" s="257"/>
      <c r="BP681" s="289"/>
      <c r="BQ681" s="289"/>
      <c r="BR681" s="258"/>
      <c r="BS681" s="371"/>
    </row>
    <row r="682" spans="1:71" s="690" customFormat="1" ht="15" hidden="1" outlineLevel="1">
      <c r="A682" s="259" t="s">
        <v>7</v>
      </c>
      <c r="B682" s="257"/>
      <c r="C682" s="436" t="str">
        <f ca="1">IFERROR(_xll.BDP(MO.Ticker.Bloomberg&amp;" Equity","INTERVAL_AVG","MARKET_DATA_OVERRIDE=PX_LAST","START_DATE_OVERRIDE",TEXT(INDEX(MO_SNA_FPStartDate,0,COLUMN()),"YYYYMMDD"),"END_DATE_OVERRIDE",TEXT(INDEX(MO_Common_QEndDate,0,COLUMN()),"YYYYMMDD")),"N/A")</f>
        <v>N/A</v>
      </c>
      <c r="D682" s="436" t="str">
        <f ca="1">IFERROR(_xll.BDP(MO.Ticker.Bloomberg&amp;" Equity","INTERVAL_AVG","MARKET_DATA_OVERRIDE=PX_LAST","START_DATE_OVERRIDE",TEXT(INDEX(MO_SNA_FPStartDate,0,COLUMN()),"YYYYMMDD"),"END_DATE_OVERRIDE",TEXT(INDEX(MO_Common_QEndDate,0,COLUMN()),"YYYYMMDD")),"N/A")</f>
        <v>N/A</v>
      </c>
      <c r="E682" s="289" t="str">
        <f ca="1">IFERROR(_xll.BDP(MO.Ticker.Bloomberg&amp;" Equity","INTERVAL_AVG","MARKET_DATA_OVERRIDE=PX_LAST","START_DATE_OVERRIDE",TEXT(INDEX(MO_SNA_FPStartDate,0,COLUMN()),"YYYYMMDD"),"END_DATE_OVERRIDE",TEXT(INDEX(MO_Common_QEndDate,0,COLUMN()),"YYYYMMDD")),"N/A")</f>
        <v>N/A</v>
      </c>
      <c r="F682" s="289" t="str">
        <f ca="1">IFERROR(_xll.BDP(MO.Ticker.Bloomberg&amp;" Equity","INTERVAL_AVG","MARKET_DATA_OVERRIDE=PX_LAST","START_DATE_OVERRIDE",TEXT(INDEX(MO_SNA_FPStartDate,0,COLUMN()),"YYYYMMDD"),"END_DATE_OVERRIDE",TEXT(INDEX(MO_Common_QEndDate,0,COLUMN()),"YYYYMMDD")),"N/A")</f>
        <v>N/A</v>
      </c>
      <c r="G682" s="289" t="str">
        <f ca="1">IFERROR(_xll.BDP(MO.Ticker.Bloomberg&amp;" Equity","INTERVAL_AVG","MARKET_DATA_OVERRIDE=PX_LAST","START_DATE_OVERRIDE",TEXT(INDEX(MO_SNA_FPStartDate,0,COLUMN()),"YYYYMMDD"),"END_DATE_OVERRIDE",TEXT(INDEX(MO_Common_QEndDate,0,COLUMN()),"YYYYMMDD")),"N/A")</f>
        <v>N/A</v>
      </c>
      <c r="H682" s="289" t="str">
        <f ca="1">IFERROR(_xll.BDP(MO.Ticker.Bloomberg&amp;" Equity","INTERVAL_AVG","MARKET_DATA_OVERRIDE=PX_LAST","START_DATE_OVERRIDE",TEXT(INDEX(MO_SNA_FPStartDate,0,COLUMN()),"YYYYMMDD"),"END_DATE_OVERRIDE",TEXT(INDEX(MO_Common_QEndDate,0,COLUMN()),"YYYYMMDD")),"N/A")</f>
        <v>N/A</v>
      </c>
      <c r="I682" s="289" t="str">
        <f ca="1">IFERROR(_xll.BDP(MO.Ticker.Bloomberg&amp;" Equity","INTERVAL_AVG","MARKET_DATA_OVERRIDE=PX_LAST","START_DATE_OVERRIDE",TEXT(INDEX(MO_SNA_FPStartDate,0,COLUMN()),"YYYYMMDD"),"END_DATE_OVERRIDE",TEXT(INDEX(MO_Common_QEndDate,0,COLUMN()),"YYYYMMDD")),"N/A")</f>
        <v>N/A</v>
      </c>
      <c r="J682" s="289" t="str">
        <f ca="1">IFERROR(_xll.BDP(MO.Ticker.Bloomberg&amp;" Equity","INTERVAL_AVG","MARKET_DATA_OVERRIDE=PX_LAST","START_DATE_OVERRIDE",TEXT(INDEX(MO_SNA_FPStartDate,0,COLUMN()),"YYYYMMDD"),"END_DATE_OVERRIDE",TEXT(INDEX(MO_Common_QEndDate,0,COLUMN()),"YYYYMMDD")),"N/A")</f>
        <v>N/A</v>
      </c>
      <c r="K682" s="289" t="str">
        <f ca="1">IFERROR(_xll.BDP(MO.Ticker.Bloomberg&amp;" Equity","INTERVAL_AVG","MARKET_DATA_OVERRIDE=PX_LAST","START_DATE_OVERRIDE",TEXT(INDEX(MO_SNA_FPStartDate,0,COLUMN()),"YYYYMMDD"),"END_DATE_OVERRIDE",TEXT(INDEX(MO_Common_QEndDate,0,COLUMN()),"YYYYMMDD")),"N/A")</f>
        <v>N/A</v>
      </c>
      <c r="L682" s="289" t="str">
        <f ca="1">IFERROR(_xll.BDP(MO.Ticker.Bloomberg&amp;" Equity","INTERVAL_AVG","MARKET_DATA_OVERRIDE=PX_LAST","START_DATE_OVERRIDE",TEXT(INDEX(MO_SNA_FPStartDate,0,COLUMN()),"YYYYMMDD"),"END_DATE_OVERRIDE",TEXT(INDEX(MO_Common_QEndDate,0,COLUMN()),"YYYYMMDD")),"N/A")</f>
        <v>N/A</v>
      </c>
      <c r="M682" s="289" t="str">
        <f ca="1">IFERROR(_xll.BDP(MO.Ticker.Bloomberg&amp;" Equity","INTERVAL_AVG","MARKET_DATA_OVERRIDE=PX_LAST","START_DATE_OVERRIDE",TEXT(INDEX(MO_SNA_FPStartDate,0,COLUMN()),"YYYYMMDD"),"END_DATE_OVERRIDE",TEXT(INDEX(MO_Common_QEndDate,0,COLUMN()),"YYYYMMDD")),"N/A")</f>
        <v>N/A</v>
      </c>
      <c r="N682" s="289" t="str">
        <f ca="1">IFERROR(_xll.BDP(MO.Ticker.Bloomberg&amp;" Equity","INTERVAL_AVG","MARKET_DATA_OVERRIDE=PX_LAST","START_DATE_OVERRIDE",TEXT(INDEX(MO_SNA_FPStartDate,0,COLUMN()),"YYYYMMDD"),"END_DATE_OVERRIDE",TEXT(INDEX(MO_Common_QEndDate,0,COLUMN()),"YYYYMMDD")),"N/A")</f>
        <v>N/A</v>
      </c>
      <c r="O682" s="289" t="str">
        <f ca="1">IFERROR(_xll.BDP(MO.Ticker.Bloomberg&amp;" Equity","INTERVAL_AVG","MARKET_DATA_OVERRIDE=PX_LAST","START_DATE_OVERRIDE",TEXT(INDEX(MO_SNA_FPStartDate,0,COLUMN()),"YYYYMMDD"),"END_DATE_OVERRIDE",TEXT(INDEX(MO_Common_QEndDate,0,COLUMN()),"YYYYMMDD")),"N/A")</f>
        <v>N/A</v>
      </c>
      <c r="P682" s="289" t="str">
        <f ca="1">IFERROR(_xll.BDP(MO.Ticker.Bloomberg&amp;" Equity","INTERVAL_AVG","MARKET_DATA_OVERRIDE=PX_LAST","START_DATE_OVERRIDE",TEXT(INDEX(MO_SNA_FPStartDate,0,COLUMN()),"YYYYMMDD"),"END_DATE_OVERRIDE",TEXT(INDEX(MO_Common_QEndDate,0,COLUMN()),"YYYYMMDD")),"N/A")</f>
        <v>N/A</v>
      </c>
      <c r="Q682" s="289" t="str">
        <f ca="1">IFERROR(_xll.BDP(MO.Ticker.Bloomberg&amp;" Equity","INTERVAL_AVG","MARKET_DATA_OVERRIDE=PX_LAST","START_DATE_OVERRIDE",TEXT(INDEX(MO_SNA_FPStartDate,0,COLUMN()),"YYYYMMDD"),"END_DATE_OVERRIDE",TEXT(INDEX(MO_Common_QEndDate,0,COLUMN()),"YYYYMMDD")),"N/A")</f>
        <v>N/A</v>
      </c>
      <c r="R682" s="289" t="str">
        <f ca="1">IFERROR(_xll.BDP(MO.Ticker.Bloomberg&amp;" Equity","INTERVAL_AVG","MARKET_DATA_OVERRIDE=PX_LAST","START_DATE_OVERRIDE",TEXT(INDEX(MO_SNA_FPStartDate,0,COLUMN()),"YYYYMMDD"),"END_DATE_OVERRIDE",TEXT(INDEX(MO_Common_QEndDate,0,COLUMN()),"YYYYMMDD")),"N/A")</f>
        <v>N/A</v>
      </c>
      <c r="S682" s="289" t="str">
        <f ca="1">IFERROR(_xll.BDP(MO.Ticker.Bloomberg&amp;" Equity","INTERVAL_AVG","MARKET_DATA_OVERRIDE=PX_LAST","START_DATE_OVERRIDE",TEXT(INDEX(MO_SNA_FPStartDate,0,COLUMN()),"YYYYMMDD"),"END_DATE_OVERRIDE",TEXT(INDEX(MO_Common_QEndDate,0,COLUMN()),"YYYYMMDD")),"N/A")</f>
        <v>N/A</v>
      </c>
      <c r="T682" s="289" t="str">
        <f ca="1">IFERROR(_xll.BDP(MO.Ticker.Bloomberg&amp;" Equity","INTERVAL_AVG","MARKET_DATA_OVERRIDE=PX_LAST","START_DATE_OVERRIDE",TEXT(INDEX(MO_SNA_FPStartDate,0,COLUMN()),"YYYYMMDD"),"END_DATE_OVERRIDE",TEXT(INDEX(MO_Common_QEndDate,0,COLUMN()),"YYYYMMDD")),"N/A")</f>
        <v>N/A</v>
      </c>
      <c r="U682" s="289" t="str">
        <f ca="1">IFERROR(_xll.BDP(MO.Ticker.Bloomberg&amp;" Equity","INTERVAL_AVG","MARKET_DATA_OVERRIDE=PX_LAST","START_DATE_OVERRIDE",TEXT(INDEX(MO_SNA_FPStartDate,0,COLUMN()),"YYYYMMDD"),"END_DATE_OVERRIDE",TEXT(INDEX(MO_Common_QEndDate,0,COLUMN()),"YYYYMMDD")),"N/A")</f>
        <v>N/A</v>
      </c>
      <c r="V682" s="289" t="str">
        <f ca="1">IFERROR(_xll.BDP(MO.Ticker.Bloomberg&amp;" Equity","INTERVAL_AVG","MARKET_DATA_OVERRIDE=PX_LAST","START_DATE_OVERRIDE",TEXT(INDEX(MO_SNA_FPStartDate,0,COLUMN()),"YYYYMMDD"),"END_DATE_OVERRIDE",TEXT(INDEX(MO_Common_QEndDate,0,COLUMN()),"YYYYMMDD")),"N/A")</f>
        <v>N/A</v>
      </c>
      <c r="W682" s="289" t="str">
        <f ca="1">IFERROR(_xll.BDP(MO.Ticker.Bloomberg&amp;" Equity","INTERVAL_AVG","MARKET_DATA_OVERRIDE=PX_LAST","START_DATE_OVERRIDE",TEXT(INDEX(MO_SNA_FPStartDate,0,COLUMN()),"YYYYMMDD"),"END_DATE_OVERRIDE",TEXT(INDEX(MO_Common_QEndDate,0,COLUMN()),"YYYYMMDD")),"N/A")</f>
        <v>N/A</v>
      </c>
      <c r="X682" s="289" t="str">
        <f ca="1">IFERROR(_xll.BDP(MO.Ticker.Bloomberg&amp;" Equity","INTERVAL_AVG","MARKET_DATA_OVERRIDE=PX_LAST","START_DATE_OVERRIDE",TEXT(INDEX(MO_SNA_FPStartDate,0,COLUMN()),"YYYYMMDD"),"END_DATE_OVERRIDE",TEXT(INDEX(MO_Common_QEndDate,0,COLUMN()),"YYYYMMDD")),"N/A")</f>
        <v>N/A</v>
      </c>
      <c r="Y682" s="289" t="str">
        <f ca="1">IFERROR(_xll.BDP(MO.Ticker.Bloomberg&amp;" Equity","INTERVAL_AVG","MARKET_DATA_OVERRIDE=PX_LAST","START_DATE_OVERRIDE",TEXT(INDEX(MO_SNA_FPStartDate,0,COLUMN()),"YYYYMMDD"),"END_DATE_OVERRIDE",TEXT(INDEX(MO_Common_QEndDate,0,COLUMN()),"YYYYMMDD")),"N/A")</f>
        <v>N/A</v>
      </c>
      <c r="Z682" s="289" t="str">
        <f ca="1">IFERROR(_xll.BDP(MO.Ticker.Bloomberg&amp;" Equity","INTERVAL_AVG","MARKET_DATA_OVERRIDE=PX_LAST","START_DATE_OVERRIDE",TEXT(INDEX(MO_SNA_FPStartDate,0,COLUMN()),"YYYYMMDD"),"END_DATE_OVERRIDE",TEXT(INDEX(MO_Common_QEndDate,0,COLUMN()),"YYYYMMDD")),"N/A")</f>
        <v>N/A</v>
      </c>
      <c r="AA682" s="289" t="str">
        <f ca="1">IFERROR(_xll.BDP(MO.Ticker.Bloomberg&amp;" Equity","INTERVAL_AVG","MARKET_DATA_OVERRIDE=PX_LAST","START_DATE_OVERRIDE",TEXT(INDEX(MO_SNA_FPStartDate,0,COLUMN()),"YYYYMMDD"),"END_DATE_OVERRIDE",TEXT(INDEX(MO_Common_QEndDate,0,COLUMN()),"YYYYMMDD")),"N/A")</f>
        <v>N/A</v>
      </c>
      <c r="AB682" s="289" t="str">
        <f ca="1">IFERROR(_xll.BDP(MO.Ticker.Bloomberg&amp;" Equity","INTERVAL_AVG","MARKET_DATA_OVERRIDE=PX_LAST","START_DATE_OVERRIDE",TEXT(INDEX(MO_SNA_FPStartDate,0,COLUMN()),"YYYYMMDD"),"END_DATE_OVERRIDE",TEXT(INDEX(MO_Common_QEndDate,0,COLUMN()),"YYYYMMDD")),"N/A")</f>
        <v>N/A</v>
      </c>
      <c r="AC682" s="289" t="str">
        <f ca="1">IFERROR(_xll.BDP(MO.Ticker.Bloomberg&amp;" Equity","INTERVAL_AVG","MARKET_DATA_OVERRIDE=PX_LAST","START_DATE_OVERRIDE",TEXT(INDEX(MO_SNA_FPStartDate,0,COLUMN()),"YYYYMMDD"),"END_DATE_OVERRIDE",TEXT(INDEX(MO_Common_QEndDate,0,COLUMN()),"YYYYMMDD")),"N/A")</f>
        <v>N/A</v>
      </c>
      <c r="AD682" s="289" t="str">
        <f ca="1">IFERROR(_xll.BDP(MO.Ticker.Bloomberg&amp;" Equity","INTERVAL_AVG","MARKET_DATA_OVERRIDE=PX_LAST","START_DATE_OVERRIDE",TEXT(INDEX(MO_SNA_FPStartDate,0,COLUMN()),"YYYYMMDD"),"END_DATE_OVERRIDE",TEXT(INDEX(MO_Common_QEndDate,0,COLUMN()),"YYYYMMDD")),"N/A")</f>
        <v>N/A</v>
      </c>
      <c r="AE682" s="289" t="str">
        <f ca="1">IFERROR(_xll.BDP(MO.Ticker.Bloomberg&amp;" Equity","INTERVAL_AVG","MARKET_DATA_OVERRIDE=PX_LAST","START_DATE_OVERRIDE",TEXT(INDEX(MO_SNA_FPStartDate,0,COLUMN()),"YYYYMMDD"),"END_DATE_OVERRIDE",TEXT(INDEX(MO_Common_QEndDate,0,COLUMN()),"YYYYMMDD")),"N/A")</f>
        <v>N/A</v>
      </c>
      <c r="AF682" s="289" t="str">
        <f ca="1">IFERROR(_xll.BDP(MO.Ticker.Bloomberg&amp;" Equity","INTERVAL_AVG","MARKET_DATA_OVERRIDE=PX_LAST","START_DATE_OVERRIDE",TEXT(INDEX(MO_SNA_FPStartDate,0,COLUMN()),"YYYYMMDD"),"END_DATE_OVERRIDE",TEXT(INDEX(MO_Common_QEndDate,0,COLUMN()),"YYYYMMDD")),"N/A")</f>
        <v>N/A</v>
      </c>
      <c r="AG682" s="289" t="str">
        <f ca="1">IFERROR(_xll.BDP(MO.Ticker.Bloomberg&amp;" Equity","INTERVAL_AVG","MARKET_DATA_OVERRIDE=PX_LAST","START_DATE_OVERRIDE",TEXT(INDEX(MO_SNA_FPStartDate,0,COLUMN()),"YYYYMMDD"),"END_DATE_OVERRIDE",TEXT(INDEX(MO_Common_QEndDate,0,COLUMN()),"YYYYMMDD")),"N/A")</f>
        <v>N/A</v>
      </c>
      <c r="AH682" s="289" t="str">
        <f ca="1">IFERROR(_xll.BDP(MO.Ticker.Bloomberg&amp;" Equity","INTERVAL_AVG","MARKET_DATA_OVERRIDE=PX_LAST","START_DATE_OVERRIDE",TEXT(INDEX(MO_SNA_FPStartDate,0,COLUMN()),"YYYYMMDD"),"END_DATE_OVERRIDE",TEXT(INDEX(MO_Common_QEndDate,0,COLUMN()),"YYYYMMDD")),"N/A")</f>
        <v>N/A</v>
      </c>
      <c r="AI682" s="289" t="str">
        <f ca="1">IFERROR(_xll.BDP(MO.Ticker.Bloomberg&amp;" Equity","INTERVAL_AVG","MARKET_DATA_OVERRIDE=PX_LAST","START_DATE_OVERRIDE",TEXT(INDEX(MO_SNA_FPStartDate,0,COLUMN()),"YYYYMMDD"),"END_DATE_OVERRIDE",TEXT(INDEX(MO_Common_QEndDate,0,COLUMN()),"YYYYMMDD")),"N/A")</f>
        <v>N/A</v>
      </c>
      <c r="AJ682" s="289" t="str">
        <f ca="1">IFERROR(_xll.BDP(MO.Ticker.Bloomberg&amp;" Equity","INTERVAL_AVG","MARKET_DATA_OVERRIDE=PX_LAST","START_DATE_OVERRIDE",TEXT(INDEX(MO_SNA_FPStartDate,0,COLUMN()),"YYYYMMDD"),"END_DATE_OVERRIDE",TEXT(INDEX(MO_Common_QEndDate,0,COLUMN()),"YYYYMMDD")),"N/A")</f>
        <v>N/A</v>
      </c>
      <c r="AK682" s="289" t="str">
        <f ca="1">IFERROR(_xll.BDP(MO.Ticker.Bloomberg&amp;" Equity","INTERVAL_AVG","MARKET_DATA_OVERRIDE=PX_LAST","START_DATE_OVERRIDE",TEXT(INDEX(MO_SNA_FPStartDate,0,COLUMN()),"YYYYMMDD"),"END_DATE_OVERRIDE",TEXT(INDEX(MO_Common_QEndDate,0,COLUMN()),"YYYYMMDD")),"N/A")</f>
        <v>N/A</v>
      </c>
      <c r="AL682" s="289" t="str">
        <f ca="1">IFERROR(_xll.BDP(MO.Ticker.Bloomberg&amp;" Equity","INTERVAL_AVG","MARKET_DATA_OVERRIDE=PX_LAST","START_DATE_OVERRIDE",TEXT(INDEX(MO_SNA_FPStartDate,0,COLUMN()),"YYYYMMDD"),"END_DATE_OVERRIDE",TEXT(INDEX(MO_Common_QEndDate,0,COLUMN()),"YYYYMMDD")),"N/A")</f>
        <v>N/A</v>
      </c>
      <c r="AM682" s="289" t="str">
        <f ca="1">IFERROR(_xll.BDP(MO.Ticker.Bloomberg&amp;" Equity","INTERVAL_AVG","MARKET_DATA_OVERRIDE=PX_LAST","START_DATE_OVERRIDE",TEXT(INDEX(MO_SNA_FPStartDate,0,COLUMN()),"YYYYMMDD"),"END_DATE_OVERRIDE",TEXT(INDEX(MO_Common_QEndDate,0,COLUMN()),"YYYYMMDD")),"N/A")</f>
        <v>N/A</v>
      </c>
      <c r="AN682" s="289" t="str">
        <f ca="1">IFERROR(_xll.BDP(MO.Ticker.Bloomberg&amp;" Equity","INTERVAL_AVG","MARKET_DATA_OVERRIDE=PX_LAST","START_DATE_OVERRIDE",TEXT(INDEX(MO_SNA_FPStartDate,0,COLUMN()),"YYYYMMDD"),"END_DATE_OVERRIDE",TEXT(INDEX(MO_Common_QEndDate,0,COLUMN()),"YYYYMMDD")),"N/A")</f>
        <v>N/A</v>
      </c>
      <c r="AO682" s="289" t="str">
        <f ca="1">IFERROR(_xll.BDP(MO.Ticker.Bloomberg&amp;" Equity","INTERVAL_AVG","MARKET_DATA_OVERRIDE=PX_LAST","START_DATE_OVERRIDE",TEXT(INDEX(MO_SNA_FPStartDate,0,COLUMN()),"YYYYMMDD"),"END_DATE_OVERRIDE",TEXT(INDEX(MO_Common_QEndDate,0,COLUMN()),"YYYYMMDD")),"N/A")</f>
        <v>N/A</v>
      </c>
      <c r="AP682" s="289" t="str">
        <f ca="1">IFERROR(_xll.BDP(MO.Ticker.Bloomberg&amp;" Equity","INTERVAL_AVG","MARKET_DATA_OVERRIDE=PX_LAST","START_DATE_OVERRIDE",TEXT(INDEX(MO_SNA_FPStartDate,0,COLUMN()),"YYYYMMDD"),"END_DATE_OVERRIDE",TEXT(INDEX(MO_Common_QEndDate,0,COLUMN()),"YYYYMMDD")),"N/A")</f>
        <v>N/A</v>
      </c>
      <c r="AQ682" s="289" t="str">
        <f ca="1">IFERROR(_xll.BDP(MO.Ticker.Bloomberg&amp;" Equity","INTERVAL_AVG","MARKET_DATA_OVERRIDE=PX_LAST","START_DATE_OVERRIDE",TEXT(INDEX(MO_SNA_FPStartDate,0,COLUMN()),"YYYYMMDD"),"END_DATE_OVERRIDE",TEXT(INDEX(MO_Common_QEndDate,0,COLUMN()),"YYYYMMDD")),"N/A")</f>
        <v>N/A</v>
      </c>
      <c r="AR682" s="289" t="str">
        <f ca="1">IFERROR(_xll.BDP(MO.Ticker.Bloomberg&amp;" Equity","INTERVAL_AVG","MARKET_DATA_OVERRIDE=PX_LAST","START_DATE_OVERRIDE",TEXT(INDEX(MO_SNA_FPStartDate,0,COLUMN()),"YYYYMMDD"),"END_DATE_OVERRIDE",TEXT(INDEX(MO_Common_QEndDate,0,COLUMN()),"YYYYMMDD")),"N/A")</f>
        <v>N/A</v>
      </c>
      <c r="AS682" s="289" t="str">
        <f ca="1">IFERROR(_xll.BDP(MO.Ticker.Bloomberg&amp;" Equity","INTERVAL_AVG","MARKET_DATA_OVERRIDE=PX_LAST","START_DATE_OVERRIDE",TEXT(INDEX(MO_SNA_FPStartDate,0,COLUMN()),"YYYYMMDD"),"END_DATE_OVERRIDE",TEXT(INDEX(MO_Common_QEndDate,0,COLUMN()),"YYYYMMDD")),"N/A")</f>
        <v>N/A</v>
      </c>
      <c r="AT682" s="289" t="str">
        <f ca="1">IFERROR(_xll.BDP(MO.Ticker.Bloomberg&amp;" Equity","INTERVAL_AVG","MARKET_DATA_OVERRIDE=PX_LAST","START_DATE_OVERRIDE",TEXT(INDEX(MO_SNA_FPStartDate,0,COLUMN()),"YYYYMMDD"),"END_DATE_OVERRIDE",TEXT(INDEX(MO_Common_QEndDate,0,COLUMN()),"YYYYMMDD")),"N/A")</f>
        <v>N/A</v>
      </c>
      <c r="AU682" s="289" t="str">
        <f ca="1">IFERROR(_xll.BDP(MO.Ticker.Bloomberg&amp;" Equity","INTERVAL_AVG","MARKET_DATA_OVERRIDE=PX_LAST","START_DATE_OVERRIDE",TEXT(INDEX(MO_SNA_FPStartDate,0,COLUMN()),"YYYYMMDD"),"END_DATE_OVERRIDE",TEXT(INDEX(MO_Common_QEndDate,0,COLUMN()),"YYYYMMDD")),"N/A")</f>
        <v>N/A</v>
      </c>
      <c r="AV682" s="289" t="str">
        <f ca="1">IFERROR(_xll.BDP(MO.Ticker.Bloomberg&amp;" Equity","INTERVAL_AVG","MARKET_DATA_OVERRIDE=PX_LAST","START_DATE_OVERRIDE",TEXT(INDEX(MO_SNA_FPStartDate,0,COLUMN()),"YYYYMMDD"),"END_DATE_OVERRIDE",TEXT(INDEX(MO_Common_QEndDate,0,COLUMN()),"YYYYMMDD")),"N/A")</f>
        <v>N/A</v>
      </c>
      <c r="AW682" s="289" t="str">
        <f ca="1">IFERROR(_xll.BDP(MO.Ticker.Bloomberg&amp;" Equity","INTERVAL_AVG","MARKET_DATA_OVERRIDE=PX_LAST","START_DATE_OVERRIDE",TEXT(INDEX(MO_SNA_FPStartDate,0,COLUMN()),"YYYYMMDD"),"END_DATE_OVERRIDE",TEXT(INDEX(MO_Common_QEndDate,0,COLUMN()),"YYYYMMDD")),"N/A")</f>
        <v>N/A</v>
      </c>
      <c r="AX682" s="289" t="str">
        <f ca="1">IFERROR(_xll.BDP(MO.Ticker.Bloomberg&amp;" Equity","INTERVAL_AVG","MARKET_DATA_OVERRIDE=PX_LAST","START_DATE_OVERRIDE",TEXT(INDEX(MO_SNA_FPStartDate,0,COLUMN()),"YYYYMMDD"),"END_DATE_OVERRIDE",TEXT(INDEX(MO_Common_QEndDate,0,COLUMN()),"YYYYMMDD")),"N/A")</f>
        <v>N/A</v>
      </c>
      <c r="AY682" s="289" t="str">
        <f ca="1">IFERROR(_xll.BDP(MO.Ticker.Bloomberg&amp;" Equity","INTERVAL_AVG","MARKET_DATA_OVERRIDE=PX_LAST","START_DATE_OVERRIDE",TEXT(INDEX(MO_SNA_FPStartDate,0,COLUMN()),"YYYYMMDD"),"END_DATE_OVERRIDE",TEXT(INDEX(MO_Common_QEndDate,0,COLUMN()),"YYYYMMDD")),"N/A")</f>
        <v>N/A</v>
      </c>
      <c r="AZ682" s="289" t="str">
        <f ca="1">IFERROR(_xll.BDP(MO.Ticker.Bloomberg&amp;" Equity","INTERVAL_AVG","MARKET_DATA_OVERRIDE=PX_LAST","START_DATE_OVERRIDE",TEXT(INDEX(MO_SNA_FPStartDate,0,COLUMN()),"YYYYMMDD"),"END_DATE_OVERRIDE",TEXT(INDEX(MO_Common_QEndDate,0,COLUMN()),"YYYYMMDD")),"N/A")</f>
        <v>N/A</v>
      </c>
      <c r="BA682" s="289" t="str">
        <f ca="1">IFERROR(_xll.BDP(MO.Ticker.Bloomberg&amp;" Equity","INTERVAL_AVG","MARKET_DATA_OVERRIDE=PX_LAST","START_DATE_OVERRIDE",TEXT(INDEX(MO_SNA_FPStartDate,0,COLUMN()),"YYYYMMDD"),"END_DATE_OVERRIDE",TEXT(INDEX(MO_Common_QEndDate,0,COLUMN()),"YYYYMMDD")),"N/A")</f>
        <v>N/A</v>
      </c>
      <c r="BB682" s="289" t="str">
        <f ca="1">IFERROR(_xll.BDP(MO.Ticker.Bloomberg&amp;" Equity","INTERVAL_AVG","MARKET_DATA_OVERRIDE=PX_LAST","START_DATE_OVERRIDE",TEXT(INDEX(MO_SNA_FPStartDate,0,COLUMN()),"YYYYMMDD"),"END_DATE_OVERRIDE",TEXT(INDEX(MO_Common_QEndDate,0,COLUMN()),"YYYYMMDD")),"N/A")</f>
        <v>N/A</v>
      </c>
      <c r="BC682" s="289" t="str">
        <f ca="1">IFERROR(_xll.BDP(MO.Ticker.Bloomberg&amp;" Equity","INTERVAL_AVG","MARKET_DATA_OVERRIDE=PX_LAST","START_DATE_OVERRIDE",TEXT(INDEX(MO_SNA_FPStartDate,0,COLUMN()),"YYYYMMDD"),"END_DATE_OVERRIDE",TEXT(INDEX(MO_Common_QEndDate,0,COLUMN()),"YYYYMMDD")),"N/A")</f>
        <v>N/A</v>
      </c>
      <c r="BD682" s="289" t="str">
        <f ca="1">IFERROR(_xll.BDP(MO.Ticker.Bloomberg&amp;" Equity","INTERVAL_AVG","MARKET_DATA_OVERRIDE=PX_LAST","START_DATE_OVERRIDE",TEXT(INDEX(MO_SNA_FPStartDate,0,COLUMN()),"YYYYMMDD"),"END_DATE_OVERRIDE",TEXT(INDEX(MO_Common_QEndDate,0,COLUMN()),"YYYYMMDD")),"N/A")</f>
        <v>N/A</v>
      </c>
      <c r="BE682" s="289" t="str">
        <f ca="1">IFERROR(_xll.BDP(MO.Ticker.Bloomberg&amp;" Equity","INTERVAL_AVG","MARKET_DATA_OVERRIDE=PX_LAST","START_DATE_OVERRIDE",TEXT(INDEX(MO_SNA_FPStartDate,0,COLUMN()),"YYYYMMDD"),"END_DATE_OVERRIDE",TEXT(INDEX(MO_Common_QEndDate,0,COLUMN()),"YYYYMMDD")),"N/A")</f>
        <v>N/A</v>
      </c>
      <c r="BF682" s="289" t="str">
        <f ca="1">IFERROR(_xll.BDP(MO.Ticker.Bloomberg&amp;" Equity","INTERVAL_AVG","MARKET_DATA_OVERRIDE=PX_LAST","START_DATE_OVERRIDE",TEXT(INDEX(MO_SNA_FPStartDate,0,COLUMN()),"YYYYMMDD"),"END_DATE_OVERRIDE",TEXT(INDEX(MO_Common_QEndDate,0,COLUMN()),"YYYYMMDD")),"N/A")</f>
        <v>N/A</v>
      </c>
      <c r="BG682" s="289" t="str">
        <f ca="1">IFERROR(_xll.BDP(MO.Ticker.Bloomberg&amp;" Equity","INTERVAL_AVG","MARKET_DATA_OVERRIDE=PX_LAST","START_DATE_OVERRIDE",TEXT(INDEX(MO_SNA_FPStartDate,0,COLUMN()),"YYYYMMDD"),"END_DATE_OVERRIDE",TEXT(INDEX(MO_Common_QEndDate,0,COLUMN()),"YYYYMMDD")),"N/A")</f>
        <v>N/A</v>
      </c>
      <c r="BH682" s="266" t="str">
        <f ca="1">IFERROR(_xll.BDP(MO.Ticker.Bloomberg&amp;" Equity","INTERVAL_AVG","MARKET_DATA_OVERRIDE=PX_LAST","START_DATE_OVERRIDE",TEXT(INDEX(MO_SNA_FPStartDate,0,COLUMN()),"YYYYMMDD"),"END_DATE_OVERRIDE",TEXT(INDEX(MO_Common_QEndDate,0,COLUMN()),"YYYYMMDD")),"N/A")</f>
        <v>N/A</v>
      </c>
      <c r="BI682" s="257" t="str">
        <f ca="1">IFERROR(_xll.BDP(MO.Ticker.Bloomberg&amp;" Equity","INTERVAL_AVG","MARKET_DATA_OVERRIDE=PX_LAST","START_DATE_OVERRIDE",TEXT(INDEX(MO_SNA_FPStartDate,0,COLUMN()),"YYYYMMDD"),"END_DATE_OVERRIDE",TEXT(INDEX(MO_Common_QEndDate,0,COLUMN()),"YYYYMMDD")),"N/A")</f>
        <v>N/A</v>
      </c>
      <c r="BJ682" s="257" t="str">
        <f ca="1">IFERROR(_xll.BDP(MO.Ticker.Bloomberg&amp;" Equity","INTERVAL_AVG","MARKET_DATA_OVERRIDE=PX_LAST","START_DATE_OVERRIDE",TEXT(INDEX(MO_SNA_FPStartDate,0,COLUMN()),"YYYYMMDD"),"END_DATE_OVERRIDE",TEXT(INDEX(MO_Common_QEndDate,0,COLUMN()),"YYYYMMDD")),"N/A")</f>
        <v>N/A</v>
      </c>
      <c r="BK682" s="257" t="str">
        <f ca="1">IFERROR(_xll.BDP(MO.Ticker.Bloomberg&amp;" Equity","INTERVAL_AVG","MARKET_DATA_OVERRIDE=PX_LAST","START_DATE_OVERRIDE",TEXT(INDEX(MO_SNA_FPStartDate,0,COLUMN()),"YYYYMMDD"),"END_DATE_OVERRIDE",TEXT(INDEX(MO_Common_QEndDate,0,COLUMN()),"YYYYMMDD")),"N/A")</f>
        <v>N/A</v>
      </c>
      <c r="BL682" s="257" t="str">
        <f ca="1">IFERROR(_xll.BDP(MO.Ticker.Bloomberg&amp;" Equity","INTERVAL_AVG","MARKET_DATA_OVERRIDE=PX_LAST","START_DATE_OVERRIDE",TEXT(INDEX(MO_SNA_FPStartDate,0,COLUMN()),"YYYYMMDD"),"END_DATE_OVERRIDE",TEXT(INDEX(MO_Common_QEndDate,0,COLUMN()),"YYYYMMDD")),"N/A")</f>
        <v>N/A</v>
      </c>
      <c r="BM682" s="257" t="str">
        <f ca="1">IFERROR(_xll.BDP(MO.Ticker.Bloomberg&amp;" Equity","INTERVAL_AVG","MARKET_DATA_OVERRIDE=PX_LAST","START_DATE_OVERRIDE",TEXT(INDEX(MO_SNA_FPStartDate,0,COLUMN()),"YYYYMMDD"),"END_DATE_OVERRIDE",TEXT(INDEX(MO_Common_QEndDate,0,COLUMN()),"YYYYMMDD")),"N/A")</f>
        <v>N/A</v>
      </c>
      <c r="BN682" s="257" t="str">
        <f ca="1">IFERROR(_xll.BDP(MO.Ticker.Bloomberg&amp;" Equity","INTERVAL_AVG","MARKET_DATA_OVERRIDE=PX_LAST","START_DATE_OVERRIDE",TEXT(INDEX(MO_SNA_FPStartDate,0,COLUMN()),"YYYYMMDD"),"END_DATE_OVERRIDE",TEXT(INDEX(MO_Common_QEndDate,0,COLUMN()),"YYYYMMDD")),"N/A")</f>
        <v>N/A</v>
      </c>
      <c r="BO682" s="257" t="str">
        <f ca="1">IFERROR(_xll.BDP(MO.Ticker.Bloomberg&amp;" Equity","INTERVAL_AVG","MARKET_DATA_OVERRIDE=PX_LAST","START_DATE_OVERRIDE",TEXT(INDEX(MO_SNA_FPStartDate,0,COLUMN()),"YYYYMMDD"),"END_DATE_OVERRIDE",TEXT(INDEX(MO_Common_QEndDate,0,COLUMN()),"YYYYMMDD")),"N/A")</f>
        <v>N/A</v>
      </c>
      <c r="BP682" s="289" t="str">
        <f ca="1">IFERROR(_xll.BDP(MO.Ticker.Bloomberg&amp;" Equity","INTERVAL_AVG","MARKET_DATA_OVERRIDE=PX_LAST","START_DATE_OVERRIDE",TEXT(INDEX(MO_SNA_FPStartDate,0,COLUMN()),"YYYYMMDD"),"END_DATE_OVERRIDE",TEXT(INDEX(MO_Common_QEndDate,0,COLUMN()),"YYYYMMDD")),"N/A")</f>
        <v>N/A</v>
      </c>
      <c r="BQ682" s="289" t="str">
        <f ca="1">IFERROR(_xll.BDP(MO.Ticker.Bloomberg&amp;" Equity","INTERVAL_AVG","MARKET_DATA_OVERRIDE=PX_LAST","START_DATE_OVERRIDE",TEXT(INDEX(MO_SNA_FPStartDate,0,COLUMN()),"YYYYMMDD"),"END_DATE_OVERRIDE",TEXT(INDEX(MO_Common_QEndDate,0,COLUMN()),"YYYYMMDD")),"N/A")</f>
        <v>N/A</v>
      </c>
      <c r="BR682" s="258" t="str">
        <f ca="1">IFERROR(_xll.BDP(MO.Ticker.Bloomberg&amp;" Equity","INTERVAL_AVG","MARKET_DATA_OVERRIDE=PX_LAST","START_DATE_OVERRIDE",TEXT(INDEX(MO_SNA_FPStartDate,0,COLUMN()),"YYYYMMDD"),"END_DATE_OVERRIDE",TEXT(INDEX(MO_Common_QEndDate,0,COLUMN()),"YYYYMMDD")),"N/A")</f>
        <v>N/A</v>
      </c>
      <c r="BS682" s="371"/>
    </row>
    <row r="683" spans="1:71" s="690" customFormat="1" ht="15" hidden="1" outlineLevel="1">
      <c r="A683" s="259" t="s">
        <v>396</v>
      </c>
      <c r="B683" s="257"/>
      <c r="C683" s="436" t="str">
        <f ca="1">IFERROR(_xll.CIQAVG(MO.Ticker.CapIQ,"IQ_LASTSALEPRICE",INDEX(MO_SNA_FPStartDate,0,COLUMN()),INDEX(MO_Common_QEndDate,0,COLUMN())),"N/A")</f>
        <v>N/A</v>
      </c>
      <c r="D683" s="436" t="str">
        <f ca="1">IFERROR(_xll.CIQAVG(MO.Ticker.CapIQ,"IQ_LASTSALEPRICE",INDEX(MO_SNA_FPStartDate,0,COLUMN()),INDEX(MO_Common_QEndDate,0,COLUMN())),"N/A")</f>
        <v>N/A</v>
      </c>
      <c r="E683" s="289" t="str">
        <f ca="1">IFERROR(_xll.CIQAVG(MO.Ticker.CapIQ,"IQ_LASTSALEPRICE",INDEX(MO_SNA_FPStartDate,0,COLUMN()),INDEX(MO_Common_QEndDate,0,COLUMN())),"N/A")</f>
        <v>N/A</v>
      </c>
      <c r="F683" s="289" t="str">
        <f ca="1">IFERROR(_xll.CIQAVG(MO.Ticker.CapIQ,"IQ_LASTSALEPRICE",INDEX(MO_SNA_FPStartDate,0,COLUMN()),INDEX(MO_Common_QEndDate,0,COLUMN())),"N/A")</f>
        <v>N/A</v>
      </c>
      <c r="G683" s="289" t="str">
        <f ca="1">IFERROR(_xll.CIQAVG(MO.Ticker.CapIQ,"IQ_LASTSALEPRICE",INDEX(MO_SNA_FPStartDate,0,COLUMN()),INDEX(MO_Common_QEndDate,0,COLUMN())),"N/A")</f>
        <v>N/A</v>
      </c>
      <c r="H683" s="289" t="str">
        <f ca="1">IFERROR(_xll.CIQAVG(MO.Ticker.CapIQ,"IQ_LASTSALEPRICE",INDEX(MO_SNA_FPStartDate,0,COLUMN()),INDEX(MO_Common_QEndDate,0,COLUMN())),"N/A")</f>
        <v>N/A</v>
      </c>
      <c r="I683" s="289" t="str">
        <f ca="1">IFERROR(_xll.CIQAVG(MO.Ticker.CapIQ,"IQ_LASTSALEPRICE",INDEX(MO_SNA_FPStartDate,0,COLUMN()),INDEX(MO_Common_QEndDate,0,COLUMN())),"N/A")</f>
        <v>N/A</v>
      </c>
      <c r="J683" s="289" t="str">
        <f ca="1">IFERROR(_xll.CIQAVG(MO.Ticker.CapIQ,"IQ_LASTSALEPRICE",INDEX(MO_SNA_FPStartDate,0,COLUMN()),INDEX(MO_Common_QEndDate,0,COLUMN())),"N/A")</f>
        <v>N/A</v>
      </c>
      <c r="K683" s="289" t="str">
        <f ca="1">IFERROR(_xll.CIQAVG(MO.Ticker.CapIQ,"IQ_LASTSALEPRICE",INDEX(MO_SNA_FPStartDate,0,COLUMN()),INDEX(MO_Common_QEndDate,0,COLUMN())),"N/A")</f>
        <v>N/A</v>
      </c>
      <c r="L683" s="289" t="str">
        <f ca="1">IFERROR(_xll.CIQAVG(MO.Ticker.CapIQ,"IQ_LASTSALEPRICE",INDEX(MO_SNA_FPStartDate,0,COLUMN()),INDEX(MO_Common_QEndDate,0,COLUMN())),"N/A")</f>
        <v>N/A</v>
      </c>
      <c r="M683" s="289" t="str">
        <f ca="1">IFERROR(_xll.CIQAVG(MO.Ticker.CapIQ,"IQ_LASTSALEPRICE",INDEX(MO_SNA_FPStartDate,0,COLUMN()),INDEX(MO_Common_QEndDate,0,COLUMN())),"N/A")</f>
        <v>N/A</v>
      </c>
      <c r="N683" s="289" t="str">
        <f ca="1">IFERROR(_xll.CIQAVG(MO.Ticker.CapIQ,"IQ_LASTSALEPRICE",INDEX(MO_SNA_FPStartDate,0,COLUMN()),INDEX(MO_Common_QEndDate,0,COLUMN())),"N/A")</f>
        <v>N/A</v>
      </c>
      <c r="O683" s="289" t="str">
        <f ca="1">IFERROR(_xll.CIQAVG(MO.Ticker.CapIQ,"IQ_LASTSALEPRICE",INDEX(MO_SNA_FPStartDate,0,COLUMN()),INDEX(MO_Common_QEndDate,0,COLUMN())),"N/A")</f>
        <v>N/A</v>
      </c>
      <c r="P683" s="289" t="str">
        <f ca="1">IFERROR(_xll.CIQAVG(MO.Ticker.CapIQ,"IQ_LASTSALEPRICE",INDEX(MO_SNA_FPStartDate,0,COLUMN()),INDEX(MO_Common_QEndDate,0,COLUMN())),"N/A")</f>
        <v>N/A</v>
      </c>
      <c r="Q683" s="289" t="str">
        <f ca="1">IFERROR(_xll.CIQAVG(MO.Ticker.CapIQ,"IQ_LASTSALEPRICE",INDEX(MO_SNA_FPStartDate,0,COLUMN()),INDEX(MO_Common_QEndDate,0,COLUMN())),"N/A")</f>
        <v>N/A</v>
      </c>
      <c r="R683" s="289" t="str">
        <f ca="1">IFERROR(_xll.CIQAVG(MO.Ticker.CapIQ,"IQ_LASTSALEPRICE",INDEX(MO_SNA_FPStartDate,0,COLUMN()),INDEX(MO_Common_QEndDate,0,COLUMN())),"N/A")</f>
        <v>N/A</v>
      </c>
      <c r="S683" s="289" t="str">
        <f ca="1">IFERROR(_xll.CIQAVG(MO.Ticker.CapIQ,"IQ_LASTSALEPRICE",INDEX(MO_SNA_FPStartDate,0,COLUMN()),INDEX(MO_Common_QEndDate,0,COLUMN())),"N/A")</f>
        <v>N/A</v>
      </c>
      <c r="T683" s="289" t="str">
        <f ca="1">IFERROR(_xll.CIQAVG(MO.Ticker.CapIQ,"IQ_LASTSALEPRICE",INDEX(MO_SNA_FPStartDate,0,COLUMN()),INDEX(MO_Common_QEndDate,0,COLUMN())),"N/A")</f>
        <v>N/A</v>
      </c>
      <c r="U683" s="289" t="str">
        <f ca="1">IFERROR(_xll.CIQAVG(MO.Ticker.CapIQ,"IQ_LASTSALEPRICE",INDEX(MO_SNA_FPStartDate,0,COLUMN()),INDEX(MO_Common_QEndDate,0,COLUMN())),"N/A")</f>
        <v>N/A</v>
      </c>
      <c r="V683" s="289" t="str">
        <f ca="1">IFERROR(_xll.CIQAVG(MO.Ticker.CapIQ,"IQ_LASTSALEPRICE",INDEX(MO_SNA_FPStartDate,0,COLUMN()),INDEX(MO_Common_QEndDate,0,COLUMN())),"N/A")</f>
        <v>N/A</v>
      </c>
      <c r="W683" s="289" t="str">
        <f ca="1">IFERROR(_xll.CIQAVG(MO.Ticker.CapIQ,"IQ_LASTSALEPRICE",INDEX(MO_SNA_FPStartDate,0,COLUMN()),INDEX(MO_Common_QEndDate,0,COLUMN())),"N/A")</f>
        <v>N/A</v>
      </c>
      <c r="X683" s="289" t="str">
        <f ca="1">IFERROR(_xll.CIQAVG(MO.Ticker.CapIQ,"IQ_LASTSALEPRICE",INDEX(MO_SNA_FPStartDate,0,COLUMN()),INDEX(MO_Common_QEndDate,0,COLUMN())),"N/A")</f>
        <v>N/A</v>
      </c>
      <c r="Y683" s="289" t="str">
        <f ca="1">IFERROR(_xll.CIQAVG(MO.Ticker.CapIQ,"IQ_LASTSALEPRICE",INDEX(MO_SNA_FPStartDate,0,COLUMN()),INDEX(MO_Common_QEndDate,0,COLUMN())),"N/A")</f>
        <v>N/A</v>
      </c>
      <c r="Z683" s="289" t="str">
        <f ca="1">IFERROR(_xll.CIQAVG(MO.Ticker.CapIQ,"IQ_LASTSALEPRICE",INDEX(MO_SNA_FPStartDate,0,COLUMN()),INDEX(MO_Common_QEndDate,0,COLUMN())),"N/A")</f>
        <v>N/A</v>
      </c>
      <c r="AA683" s="289" t="str">
        <f ca="1">IFERROR(_xll.CIQAVG(MO.Ticker.CapIQ,"IQ_LASTSALEPRICE",INDEX(MO_SNA_FPStartDate,0,COLUMN()),INDEX(MO_Common_QEndDate,0,COLUMN())),"N/A")</f>
        <v>N/A</v>
      </c>
      <c r="AB683" s="289" t="str">
        <f ca="1">IFERROR(_xll.CIQAVG(MO.Ticker.CapIQ,"IQ_LASTSALEPRICE",INDEX(MO_SNA_FPStartDate,0,COLUMN()),INDEX(MO_Common_QEndDate,0,COLUMN())),"N/A")</f>
        <v>N/A</v>
      </c>
      <c r="AC683" s="289" t="str">
        <f ca="1">IFERROR(_xll.CIQAVG(MO.Ticker.CapIQ,"IQ_LASTSALEPRICE",INDEX(MO_SNA_FPStartDate,0,COLUMN()),INDEX(MO_Common_QEndDate,0,COLUMN())),"N/A")</f>
        <v>N/A</v>
      </c>
      <c r="AD683" s="289" t="str">
        <f ca="1">IFERROR(_xll.CIQAVG(MO.Ticker.CapIQ,"IQ_LASTSALEPRICE",INDEX(MO_SNA_FPStartDate,0,COLUMN()),INDEX(MO_Common_QEndDate,0,COLUMN())),"N/A")</f>
        <v>N/A</v>
      </c>
      <c r="AE683" s="289" t="str">
        <f ca="1">IFERROR(_xll.CIQAVG(MO.Ticker.CapIQ,"IQ_LASTSALEPRICE",INDEX(MO_SNA_FPStartDate,0,COLUMN()),INDEX(MO_Common_QEndDate,0,COLUMN())),"N/A")</f>
        <v>N/A</v>
      </c>
      <c r="AF683" s="289" t="str">
        <f ca="1">IFERROR(_xll.CIQAVG(MO.Ticker.CapIQ,"IQ_LASTSALEPRICE",INDEX(MO_SNA_FPStartDate,0,COLUMN()),INDEX(MO_Common_QEndDate,0,COLUMN())),"N/A")</f>
        <v>N/A</v>
      </c>
      <c r="AG683" s="289" t="str">
        <f ca="1">IFERROR(_xll.CIQAVG(MO.Ticker.CapIQ,"IQ_LASTSALEPRICE",INDEX(MO_SNA_FPStartDate,0,COLUMN()),INDEX(MO_Common_QEndDate,0,COLUMN())),"N/A")</f>
        <v>N/A</v>
      </c>
      <c r="AH683" s="289" t="str">
        <f ca="1">IFERROR(_xll.CIQAVG(MO.Ticker.CapIQ,"IQ_LASTSALEPRICE",INDEX(MO_SNA_FPStartDate,0,COLUMN()),INDEX(MO_Common_QEndDate,0,COLUMN())),"N/A")</f>
        <v>N/A</v>
      </c>
      <c r="AI683" s="289" t="str">
        <f ca="1">IFERROR(_xll.CIQAVG(MO.Ticker.CapIQ,"IQ_LASTSALEPRICE",INDEX(MO_SNA_FPStartDate,0,COLUMN()),INDEX(MO_Common_QEndDate,0,COLUMN())),"N/A")</f>
        <v>N/A</v>
      </c>
      <c r="AJ683" s="289" t="str">
        <f ca="1">IFERROR(_xll.CIQAVG(MO.Ticker.CapIQ,"IQ_LASTSALEPRICE",INDEX(MO_SNA_FPStartDate,0,COLUMN()),INDEX(MO_Common_QEndDate,0,COLUMN())),"N/A")</f>
        <v>N/A</v>
      </c>
      <c r="AK683" s="289" t="str">
        <f ca="1">IFERROR(_xll.CIQAVG(MO.Ticker.CapIQ,"IQ_LASTSALEPRICE",INDEX(MO_SNA_FPStartDate,0,COLUMN()),INDEX(MO_Common_QEndDate,0,COLUMN())),"N/A")</f>
        <v>N/A</v>
      </c>
      <c r="AL683" s="289" t="str">
        <f ca="1">IFERROR(_xll.CIQAVG(MO.Ticker.CapIQ,"IQ_LASTSALEPRICE",INDEX(MO_SNA_FPStartDate,0,COLUMN()),INDEX(MO_Common_QEndDate,0,COLUMN())),"N/A")</f>
        <v>N/A</v>
      </c>
      <c r="AM683" s="289" t="str">
        <f ca="1">IFERROR(_xll.CIQAVG(MO.Ticker.CapIQ,"IQ_LASTSALEPRICE",INDEX(MO_SNA_FPStartDate,0,COLUMN()),INDEX(MO_Common_QEndDate,0,COLUMN())),"N/A")</f>
        <v>N/A</v>
      </c>
      <c r="AN683" s="289" t="str">
        <f ca="1">IFERROR(_xll.CIQAVG(MO.Ticker.CapIQ,"IQ_LASTSALEPRICE",INDEX(MO_SNA_FPStartDate,0,COLUMN()),INDEX(MO_Common_QEndDate,0,COLUMN())),"N/A")</f>
        <v>N/A</v>
      </c>
      <c r="AO683" s="289" t="str">
        <f ca="1">IFERROR(_xll.CIQAVG(MO.Ticker.CapIQ,"IQ_LASTSALEPRICE",INDEX(MO_SNA_FPStartDate,0,COLUMN()),INDEX(MO_Common_QEndDate,0,COLUMN())),"N/A")</f>
        <v>N/A</v>
      </c>
      <c r="AP683" s="289" t="str">
        <f ca="1">IFERROR(_xll.CIQAVG(MO.Ticker.CapIQ,"IQ_LASTSALEPRICE",INDEX(MO_SNA_FPStartDate,0,COLUMN()),INDEX(MO_Common_QEndDate,0,COLUMN())),"N/A")</f>
        <v>N/A</v>
      </c>
      <c r="AQ683" s="289" t="str">
        <f ca="1">IFERROR(_xll.CIQAVG(MO.Ticker.CapIQ,"IQ_LASTSALEPRICE",INDEX(MO_SNA_FPStartDate,0,COLUMN()),INDEX(MO_Common_QEndDate,0,COLUMN())),"N/A")</f>
        <v>N/A</v>
      </c>
      <c r="AR683" s="289" t="str">
        <f ca="1">IFERROR(_xll.CIQAVG(MO.Ticker.CapIQ,"IQ_LASTSALEPRICE",INDEX(MO_SNA_FPStartDate,0,COLUMN()),INDEX(MO_Common_QEndDate,0,COLUMN())),"N/A")</f>
        <v>N/A</v>
      </c>
      <c r="AS683" s="289" t="str">
        <f ca="1">IFERROR(_xll.CIQAVG(MO.Ticker.CapIQ,"IQ_LASTSALEPRICE",INDEX(MO_SNA_FPStartDate,0,COLUMN()),INDEX(MO_Common_QEndDate,0,COLUMN())),"N/A")</f>
        <v>N/A</v>
      </c>
      <c r="AT683" s="289" t="str">
        <f ca="1">IFERROR(_xll.CIQAVG(MO.Ticker.CapIQ,"IQ_LASTSALEPRICE",INDEX(MO_SNA_FPStartDate,0,COLUMN()),INDEX(MO_Common_QEndDate,0,COLUMN())),"N/A")</f>
        <v>N/A</v>
      </c>
      <c r="AU683" s="289" t="str">
        <f ca="1">IFERROR(_xll.CIQAVG(MO.Ticker.CapIQ,"IQ_LASTSALEPRICE",INDEX(MO_SNA_FPStartDate,0,COLUMN()),INDEX(MO_Common_QEndDate,0,COLUMN())),"N/A")</f>
        <v>N/A</v>
      </c>
      <c r="AV683" s="289" t="str">
        <f ca="1">IFERROR(_xll.CIQAVG(MO.Ticker.CapIQ,"IQ_LASTSALEPRICE",INDEX(MO_SNA_FPStartDate,0,COLUMN()),INDEX(MO_Common_QEndDate,0,COLUMN())),"N/A")</f>
        <v>N/A</v>
      </c>
      <c r="AW683" s="289" t="str">
        <f ca="1">IFERROR(_xll.CIQAVG(MO.Ticker.CapIQ,"IQ_LASTSALEPRICE",INDEX(MO_SNA_FPStartDate,0,COLUMN()),INDEX(MO_Common_QEndDate,0,COLUMN())),"N/A")</f>
        <v>N/A</v>
      </c>
      <c r="AX683" s="289" t="str">
        <f ca="1">IFERROR(_xll.CIQAVG(MO.Ticker.CapIQ,"IQ_LASTSALEPRICE",INDEX(MO_SNA_FPStartDate,0,COLUMN()),INDEX(MO_Common_QEndDate,0,COLUMN())),"N/A")</f>
        <v>N/A</v>
      </c>
      <c r="AY683" s="289" t="str">
        <f ca="1">IFERROR(_xll.CIQAVG(MO.Ticker.CapIQ,"IQ_LASTSALEPRICE",INDEX(MO_SNA_FPStartDate,0,COLUMN()),INDEX(MO_Common_QEndDate,0,COLUMN())),"N/A")</f>
        <v>N/A</v>
      </c>
      <c r="AZ683" s="289" t="str">
        <f ca="1">IFERROR(_xll.CIQAVG(MO.Ticker.CapIQ,"IQ_LASTSALEPRICE",INDEX(MO_SNA_FPStartDate,0,COLUMN()),INDEX(MO_Common_QEndDate,0,COLUMN())),"N/A")</f>
        <v>N/A</v>
      </c>
      <c r="BA683" s="289" t="str">
        <f ca="1">IFERROR(_xll.CIQAVG(MO.Ticker.CapIQ,"IQ_LASTSALEPRICE",INDEX(MO_SNA_FPStartDate,0,COLUMN()),INDEX(MO_Common_QEndDate,0,COLUMN())),"N/A")</f>
        <v>N/A</v>
      </c>
      <c r="BB683" s="289" t="str">
        <f ca="1">IFERROR(_xll.CIQAVG(MO.Ticker.CapIQ,"IQ_LASTSALEPRICE",INDEX(MO_SNA_FPStartDate,0,COLUMN()),INDEX(MO_Common_QEndDate,0,COLUMN())),"N/A")</f>
        <v>N/A</v>
      </c>
      <c r="BC683" s="289" t="str">
        <f ca="1">IFERROR(_xll.CIQAVG(MO.Ticker.CapIQ,"IQ_LASTSALEPRICE",INDEX(MO_SNA_FPStartDate,0,COLUMN()),INDEX(MO_Common_QEndDate,0,COLUMN())),"N/A")</f>
        <v>N/A</v>
      </c>
      <c r="BD683" s="289" t="str">
        <f ca="1">IFERROR(_xll.CIQAVG(MO.Ticker.CapIQ,"IQ_LASTSALEPRICE",INDEX(MO_SNA_FPStartDate,0,COLUMN()),INDEX(MO_Common_QEndDate,0,COLUMN())),"N/A")</f>
        <v>N/A</v>
      </c>
      <c r="BE683" s="289" t="str">
        <f ca="1">IFERROR(_xll.CIQAVG(MO.Ticker.CapIQ,"IQ_LASTSALEPRICE",INDEX(MO_SNA_FPStartDate,0,COLUMN()),INDEX(MO_Common_QEndDate,0,COLUMN())),"N/A")</f>
        <v>N/A</v>
      </c>
      <c r="BF683" s="289" t="str">
        <f ca="1">IFERROR(_xll.CIQAVG(MO.Ticker.CapIQ,"IQ_LASTSALEPRICE",INDEX(MO_SNA_FPStartDate,0,COLUMN()),INDEX(MO_Common_QEndDate,0,COLUMN())),"N/A")</f>
        <v>N/A</v>
      </c>
      <c r="BG683" s="289" t="str">
        <f ca="1">IFERROR(_xll.CIQAVG(MO.Ticker.CapIQ,"IQ_LASTSALEPRICE",INDEX(MO_SNA_FPStartDate,0,COLUMN()),INDEX(MO_Common_QEndDate,0,COLUMN())),"N/A")</f>
        <v>N/A</v>
      </c>
      <c r="BH683" s="266" t="str">
        <f ca="1">IFERROR(_xll.CIQAVG(MO.Ticker.CapIQ,"IQ_LASTSALEPRICE",INDEX(MO_SNA_FPStartDate,0,COLUMN()),INDEX(MO_Common_QEndDate,0,COLUMN())),"N/A")</f>
        <v>N/A</v>
      </c>
      <c r="BI683" s="257" t="str">
        <f ca="1">IFERROR(_xll.CIQAVG(MO.Ticker.CapIQ,"IQ_LASTSALEPRICE",INDEX(MO_SNA_FPStartDate,0,COLUMN()),INDEX(MO_Common_QEndDate,0,COLUMN())),"N/A")</f>
        <v>N/A</v>
      </c>
      <c r="BJ683" s="257" t="str">
        <f ca="1">IFERROR(_xll.CIQAVG(MO.Ticker.CapIQ,"IQ_LASTSALEPRICE",INDEX(MO_SNA_FPStartDate,0,COLUMN()),INDEX(MO_Common_QEndDate,0,COLUMN())),"N/A")</f>
        <v>N/A</v>
      </c>
      <c r="BK683" s="257" t="str">
        <f ca="1">IFERROR(_xll.CIQAVG(MO.Ticker.CapIQ,"IQ_LASTSALEPRICE",INDEX(MO_SNA_FPStartDate,0,COLUMN()),INDEX(MO_Common_QEndDate,0,COLUMN())),"N/A")</f>
        <v>N/A</v>
      </c>
      <c r="BL683" s="257" t="str">
        <f ca="1">IFERROR(_xll.CIQAVG(MO.Ticker.CapIQ,"IQ_LASTSALEPRICE",INDEX(MO_SNA_FPStartDate,0,COLUMN()),INDEX(MO_Common_QEndDate,0,COLUMN())),"N/A")</f>
        <v>N/A</v>
      </c>
      <c r="BM683" s="257" t="str">
        <f ca="1">IFERROR(_xll.CIQAVG(MO.Ticker.CapIQ,"IQ_LASTSALEPRICE",INDEX(MO_SNA_FPStartDate,0,COLUMN()),INDEX(MO_Common_QEndDate,0,COLUMN())),"N/A")</f>
        <v>N/A</v>
      </c>
      <c r="BN683" s="257" t="str">
        <f ca="1">IFERROR(_xll.CIQAVG(MO.Ticker.CapIQ,"IQ_LASTSALEPRICE",INDEX(MO_SNA_FPStartDate,0,COLUMN()),INDEX(MO_Common_QEndDate,0,COLUMN())),"N/A")</f>
        <v>N/A</v>
      </c>
      <c r="BO683" s="257" t="str">
        <f ca="1">IFERROR(_xll.CIQAVG(MO.Ticker.CapIQ,"IQ_LASTSALEPRICE",INDEX(MO_SNA_FPStartDate,0,COLUMN()),INDEX(MO_Common_QEndDate,0,COLUMN())),"N/A")</f>
        <v>N/A</v>
      </c>
      <c r="BP683" s="289" t="str">
        <f ca="1">IFERROR(_xll.CIQAVG(MO.Ticker.CapIQ,"IQ_LASTSALEPRICE",INDEX(MO_SNA_FPStartDate,0,COLUMN()),INDEX(MO_Common_QEndDate,0,COLUMN())),"N/A")</f>
        <v>N/A</v>
      </c>
      <c r="BQ683" s="289" t="str">
        <f ca="1">IFERROR(_xll.CIQAVG(MO.Ticker.CapIQ,"IQ_LASTSALEPRICE",INDEX(MO_SNA_FPStartDate,0,COLUMN()),INDEX(MO_Common_QEndDate,0,COLUMN())),"N/A")</f>
        <v>N/A</v>
      </c>
      <c r="BR683" s="258" t="str">
        <f ca="1">IFERROR(_xll.CIQAVG(MO.Ticker.CapIQ,"IQ_LASTSALEPRICE",INDEX(MO_SNA_FPStartDate,0,COLUMN()),INDEX(MO_Common_QEndDate,0,COLUMN())),"N/A")</f>
        <v>N/A</v>
      </c>
      <c r="BS683" s="371"/>
    </row>
    <row r="684" spans="1:71" s="690" customFormat="1" ht="15" hidden="1" outlineLevel="1">
      <c r="A684" s="259" t="s">
        <v>397</v>
      </c>
      <c r="B684" s="257"/>
      <c r="C684" s="436" t="str">
        <f ca="1">IFERROR(_xll.FDS(MO.Ticker.FactSet,"P_PRICE_AVG"&amp;"("&amp;INDEX(MO_SNA_FPStartDate,0,COLUMN())&amp;","&amp;INDEX(MO_Common_QEndDate,0,COLUMN())&amp;",,,,""PRICE"",""CLOSE"")"),"N/A")</f>
        <v>N/A</v>
      </c>
      <c r="D684" s="436" t="str">
        <f ca="1">IFERROR(_xll.FDS(MO.Ticker.FactSet,"P_PRICE_AVG"&amp;"("&amp;INDEX(MO_SNA_FPStartDate,0,COLUMN())&amp;","&amp;INDEX(MO_Common_QEndDate,0,COLUMN())&amp;",,,,""PRICE"",""CLOSE"")"),"N/A")</f>
        <v>N/A</v>
      </c>
      <c r="E684" s="289" t="str">
        <f ca="1">IFERROR(_xll.FDS(MO.Ticker.FactSet,"P_PRICE_AVG"&amp;"("&amp;INDEX(MO_SNA_FPStartDate,0,COLUMN())&amp;","&amp;INDEX(MO_Common_QEndDate,0,COLUMN())&amp;",,,,""PRICE"",""CLOSE"")"),"N/A")</f>
        <v>N/A</v>
      </c>
      <c r="F684" s="289" t="str">
        <f ca="1">IFERROR(_xll.FDS(MO.Ticker.FactSet,"P_PRICE_AVG"&amp;"("&amp;INDEX(MO_SNA_FPStartDate,0,COLUMN())&amp;","&amp;INDEX(MO_Common_QEndDate,0,COLUMN())&amp;",,,,""PRICE"",""CLOSE"")"),"N/A")</f>
        <v>N/A</v>
      </c>
      <c r="G684" s="289" t="str">
        <f ca="1">IFERROR(_xll.FDS(MO.Ticker.FactSet,"P_PRICE_AVG"&amp;"("&amp;INDEX(MO_SNA_FPStartDate,0,COLUMN())&amp;","&amp;INDEX(MO_Common_QEndDate,0,COLUMN())&amp;",,,,""PRICE"",""CLOSE"")"),"N/A")</f>
        <v>N/A</v>
      </c>
      <c r="H684" s="289" t="str">
        <f ca="1">IFERROR(_xll.FDS(MO.Ticker.FactSet,"P_PRICE_AVG"&amp;"("&amp;INDEX(MO_SNA_FPStartDate,0,COLUMN())&amp;","&amp;INDEX(MO_Common_QEndDate,0,COLUMN())&amp;",,,,""PRICE"",""CLOSE"")"),"N/A")</f>
        <v>N/A</v>
      </c>
      <c r="I684" s="289" t="str">
        <f ca="1">IFERROR(_xll.FDS(MO.Ticker.FactSet,"P_PRICE_AVG"&amp;"("&amp;INDEX(MO_SNA_FPStartDate,0,COLUMN())&amp;","&amp;INDEX(MO_Common_QEndDate,0,COLUMN())&amp;",,,,""PRICE"",""CLOSE"")"),"N/A")</f>
        <v>N/A</v>
      </c>
      <c r="J684" s="289" t="str">
        <f ca="1">IFERROR(_xll.FDS(MO.Ticker.FactSet,"P_PRICE_AVG"&amp;"("&amp;INDEX(MO_SNA_FPStartDate,0,COLUMN())&amp;","&amp;INDEX(MO_Common_QEndDate,0,COLUMN())&amp;",,,,""PRICE"",""CLOSE"")"),"N/A")</f>
        <v>N/A</v>
      </c>
      <c r="K684" s="289" t="str">
        <f ca="1">IFERROR(_xll.FDS(MO.Ticker.FactSet,"P_PRICE_AVG"&amp;"("&amp;INDEX(MO_SNA_FPStartDate,0,COLUMN())&amp;","&amp;INDEX(MO_Common_QEndDate,0,COLUMN())&amp;",,,,""PRICE"",""CLOSE"")"),"N/A")</f>
        <v>N/A</v>
      </c>
      <c r="L684" s="289" t="str">
        <f ca="1">IFERROR(_xll.FDS(MO.Ticker.FactSet,"P_PRICE_AVG"&amp;"("&amp;INDEX(MO_SNA_FPStartDate,0,COLUMN())&amp;","&amp;INDEX(MO_Common_QEndDate,0,COLUMN())&amp;",,,,""PRICE"",""CLOSE"")"),"N/A")</f>
        <v>N/A</v>
      </c>
      <c r="M684" s="289" t="str">
        <f ca="1">IFERROR(_xll.FDS(MO.Ticker.FactSet,"P_PRICE_AVG"&amp;"("&amp;INDEX(MO_SNA_FPStartDate,0,COLUMN())&amp;","&amp;INDEX(MO_Common_QEndDate,0,COLUMN())&amp;",,,,""PRICE"",""CLOSE"")"),"N/A")</f>
        <v>N/A</v>
      </c>
      <c r="N684" s="289" t="str">
        <f ca="1">IFERROR(_xll.FDS(MO.Ticker.FactSet,"P_PRICE_AVG"&amp;"("&amp;INDEX(MO_SNA_FPStartDate,0,COLUMN())&amp;","&amp;INDEX(MO_Common_QEndDate,0,COLUMN())&amp;",,,,""PRICE"",""CLOSE"")"),"N/A")</f>
        <v>N/A</v>
      </c>
      <c r="O684" s="289" t="str">
        <f ca="1">IFERROR(_xll.FDS(MO.Ticker.FactSet,"P_PRICE_AVG"&amp;"("&amp;INDEX(MO_SNA_FPStartDate,0,COLUMN())&amp;","&amp;INDEX(MO_Common_QEndDate,0,COLUMN())&amp;",,,,""PRICE"",""CLOSE"")"),"N/A")</f>
        <v>N/A</v>
      </c>
      <c r="P684" s="289" t="str">
        <f ca="1">IFERROR(_xll.FDS(MO.Ticker.FactSet,"P_PRICE_AVG"&amp;"("&amp;INDEX(MO_SNA_FPStartDate,0,COLUMN())&amp;","&amp;INDEX(MO_Common_QEndDate,0,COLUMN())&amp;",,,,""PRICE"",""CLOSE"")"),"N/A")</f>
        <v>N/A</v>
      </c>
      <c r="Q684" s="289" t="str">
        <f ca="1">IFERROR(_xll.FDS(MO.Ticker.FactSet,"P_PRICE_AVG"&amp;"("&amp;INDEX(MO_SNA_FPStartDate,0,COLUMN())&amp;","&amp;INDEX(MO_Common_QEndDate,0,COLUMN())&amp;",,,,""PRICE"",""CLOSE"")"),"N/A")</f>
        <v>N/A</v>
      </c>
      <c r="R684" s="289" t="str">
        <f ca="1">IFERROR(_xll.FDS(MO.Ticker.FactSet,"P_PRICE_AVG"&amp;"("&amp;INDEX(MO_SNA_FPStartDate,0,COLUMN())&amp;","&amp;INDEX(MO_Common_QEndDate,0,COLUMN())&amp;",,,,""PRICE"",""CLOSE"")"),"N/A")</f>
        <v>N/A</v>
      </c>
      <c r="S684" s="289" t="str">
        <f ca="1">IFERROR(_xll.FDS(MO.Ticker.FactSet,"P_PRICE_AVG"&amp;"("&amp;INDEX(MO_SNA_FPStartDate,0,COLUMN())&amp;","&amp;INDEX(MO_Common_QEndDate,0,COLUMN())&amp;",,,,""PRICE"",""CLOSE"")"),"N/A")</f>
        <v>N/A</v>
      </c>
      <c r="T684" s="289" t="str">
        <f ca="1">IFERROR(_xll.FDS(MO.Ticker.FactSet,"P_PRICE_AVG"&amp;"("&amp;INDEX(MO_SNA_FPStartDate,0,COLUMN())&amp;","&amp;INDEX(MO_Common_QEndDate,0,COLUMN())&amp;",,,,""PRICE"",""CLOSE"")"),"N/A")</f>
        <v>N/A</v>
      </c>
      <c r="U684" s="289" t="str">
        <f ca="1">IFERROR(_xll.FDS(MO.Ticker.FactSet,"P_PRICE_AVG"&amp;"("&amp;INDEX(MO_SNA_FPStartDate,0,COLUMN())&amp;","&amp;INDEX(MO_Common_QEndDate,0,COLUMN())&amp;",,,,""PRICE"",""CLOSE"")"),"N/A")</f>
        <v>N/A</v>
      </c>
      <c r="V684" s="289" t="str">
        <f ca="1">IFERROR(_xll.FDS(MO.Ticker.FactSet,"P_PRICE_AVG"&amp;"("&amp;INDEX(MO_SNA_FPStartDate,0,COLUMN())&amp;","&amp;INDEX(MO_Common_QEndDate,0,COLUMN())&amp;",,,,""PRICE"",""CLOSE"")"),"N/A")</f>
        <v>N/A</v>
      </c>
      <c r="W684" s="289" t="str">
        <f ca="1">IFERROR(_xll.FDS(MO.Ticker.FactSet,"P_PRICE_AVG"&amp;"("&amp;INDEX(MO_SNA_FPStartDate,0,COLUMN())&amp;","&amp;INDEX(MO_Common_QEndDate,0,COLUMN())&amp;",,,,""PRICE"",""CLOSE"")"),"N/A")</f>
        <v>N/A</v>
      </c>
      <c r="X684" s="289" t="str">
        <f ca="1">IFERROR(_xll.FDS(MO.Ticker.FactSet,"P_PRICE_AVG"&amp;"("&amp;INDEX(MO_SNA_FPStartDate,0,COLUMN())&amp;","&amp;INDEX(MO_Common_QEndDate,0,COLUMN())&amp;",,,,""PRICE"",""CLOSE"")"),"N/A")</f>
        <v>N/A</v>
      </c>
      <c r="Y684" s="289" t="str">
        <f ca="1">IFERROR(_xll.FDS(MO.Ticker.FactSet,"P_PRICE_AVG"&amp;"("&amp;INDEX(MO_SNA_FPStartDate,0,COLUMN())&amp;","&amp;INDEX(MO_Common_QEndDate,0,COLUMN())&amp;",,,,""PRICE"",""CLOSE"")"),"N/A")</f>
        <v>N/A</v>
      </c>
      <c r="Z684" s="289" t="str">
        <f ca="1">IFERROR(_xll.FDS(MO.Ticker.FactSet,"P_PRICE_AVG"&amp;"("&amp;INDEX(MO_SNA_FPStartDate,0,COLUMN())&amp;","&amp;INDEX(MO_Common_QEndDate,0,COLUMN())&amp;",,,,""PRICE"",""CLOSE"")"),"N/A")</f>
        <v>N/A</v>
      </c>
      <c r="AA684" s="289" t="str">
        <f ca="1">IFERROR(_xll.FDS(MO.Ticker.FactSet,"P_PRICE_AVG"&amp;"("&amp;INDEX(MO_SNA_FPStartDate,0,COLUMN())&amp;","&amp;INDEX(MO_Common_QEndDate,0,COLUMN())&amp;",,,,""PRICE"",""CLOSE"")"),"N/A")</f>
        <v>N/A</v>
      </c>
      <c r="AB684" s="289" t="str">
        <f ca="1">IFERROR(_xll.FDS(MO.Ticker.FactSet,"P_PRICE_AVG"&amp;"("&amp;INDEX(MO_SNA_FPStartDate,0,COLUMN())&amp;","&amp;INDEX(MO_Common_QEndDate,0,COLUMN())&amp;",,,,""PRICE"",""CLOSE"")"),"N/A")</f>
        <v>N/A</v>
      </c>
      <c r="AC684" s="289" t="str">
        <f ca="1">IFERROR(_xll.FDS(MO.Ticker.FactSet,"P_PRICE_AVG"&amp;"("&amp;INDEX(MO_SNA_FPStartDate,0,COLUMN())&amp;","&amp;INDEX(MO_Common_QEndDate,0,COLUMN())&amp;",,,,""PRICE"",""CLOSE"")"),"N/A")</f>
        <v>N/A</v>
      </c>
      <c r="AD684" s="289" t="str">
        <f ca="1">IFERROR(_xll.FDS(MO.Ticker.FactSet,"P_PRICE_AVG"&amp;"("&amp;INDEX(MO_SNA_FPStartDate,0,COLUMN())&amp;","&amp;INDEX(MO_Common_QEndDate,0,COLUMN())&amp;",,,,""PRICE"",""CLOSE"")"),"N/A")</f>
        <v>N/A</v>
      </c>
      <c r="AE684" s="289" t="str">
        <f ca="1">IFERROR(_xll.FDS(MO.Ticker.FactSet,"P_PRICE_AVG"&amp;"("&amp;INDEX(MO_SNA_FPStartDate,0,COLUMN())&amp;","&amp;INDEX(MO_Common_QEndDate,0,COLUMN())&amp;",,,,""PRICE"",""CLOSE"")"),"N/A")</f>
        <v>N/A</v>
      </c>
      <c r="AF684" s="289" t="str">
        <f ca="1">IFERROR(_xll.FDS(MO.Ticker.FactSet,"P_PRICE_AVG"&amp;"("&amp;INDEX(MO_SNA_FPStartDate,0,COLUMN())&amp;","&amp;INDEX(MO_Common_QEndDate,0,COLUMN())&amp;",,,,""PRICE"",""CLOSE"")"),"N/A")</f>
        <v>N/A</v>
      </c>
      <c r="AG684" s="289" t="str">
        <f ca="1">IFERROR(_xll.FDS(MO.Ticker.FactSet,"P_PRICE_AVG"&amp;"("&amp;INDEX(MO_SNA_FPStartDate,0,COLUMN())&amp;","&amp;INDEX(MO_Common_QEndDate,0,COLUMN())&amp;",,,,""PRICE"",""CLOSE"")"),"N/A")</f>
        <v>N/A</v>
      </c>
      <c r="AH684" s="289" t="str">
        <f ca="1">IFERROR(_xll.FDS(MO.Ticker.FactSet,"P_PRICE_AVG"&amp;"("&amp;INDEX(MO_SNA_FPStartDate,0,COLUMN())&amp;","&amp;INDEX(MO_Common_QEndDate,0,COLUMN())&amp;",,,,""PRICE"",""CLOSE"")"),"N/A")</f>
        <v>N/A</v>
      </c>
      <c r="AI684" s="289" t="str">
        <f ca="1">IFERROR(_xll.FDS(MO.Ticker.FactSet,"P_PRICE_AVG"&amp;"("&amp;INDEX(MO_SNA_FPStartDate,0,COLUMN())&amp;","&amp;INDEX(MO_Common_QEndDate,0,COLUMN())&amp;",,,,""PRICE"",""CLOSE"")"),"N/A")</f>
        <v>N/A</v>
      </c>
      <c r="AJ684" s="289" t="str">
        <f ca="1">IFERROR(_xll.FDS(MO.Ticker.FactSet,"P_PRICE_AVG"&amp;"("&amp;INDEX(MO_SNA_FPStartDate,0,COLUMN())&amp;","&amp;INDEX(MO_Common_QEndDate,0,COLUMN())&amp;",,,,""PRICE"",""CLOSE"")"),"N/A")</f>
        <v>N/A</v>
      </c>
      <c r="AK684" s="289" t="str">
        <f ca="1">IFERROR(_xll.FDS(MO.Ticker.FactSet,"P_PRICE_AVG"&amp;"("&amp;INDEX(MO_SNA_FPStartDate,0,COLUMN())&amp;","&amp;INDEX(MO_Common_QEndDate,0,COLUMN())&amp;",,,,""PRICE"",""CLOSE"")"),"N/A")</f>
        <v>N/A</v>
      </c>
      <c r="AL684" s="289" t="str">
        <f ca="1">IFERROR(_xll.FDS(MO.Ticker.FactSet,"P_PRICE_AVG"&amp;"("&amp;INDEX(MO_SNA_FPStartDate,0,COLUMN())&amp;","&amp;INDEX(MO_Common_QEndDate,0,COLUMN())&amp;",,,,""PRICE"",""CLOSE"")"),"N/A")</f>
        <v>N/A</v>
      </c>
      <c r="AM684" s="289" t="str">
        <f ca="1">IFERROR(_xll.FDS(MO.Ticker.FactSet,"P_PRICE_AVG"&amp;"("&amp;INDEX(MO_SNA_FPStartDate,0,COLUMN())&amp;","&amp;INDEX(MO_Common_QEndDate,0,COLUMN())&amp;",,,,""PRICE"",""CLOSE"")"),"N/A")</f>
        <v>N/A</v>
      </c>
      <c r="AN684" s="289" t="str">
        <f ca="1">IFERROR(_xll.FDS(MO.Ticker.FactSet,"P_PRICE_AVG"&amp;"("&amp;INDEX(MO_SNA_FPStartDate,0,COLUMN())&amp;","&amp;INDEX(MO_Common_QEndDate,0,COLUMN())&amp;",,,,""PRICE"",""CLOSE"")"),"N/A")</f>
        <v>N/A</v>
      </c>
      <c r="AO684" s="289" t="str">
        <f ca="1">IFERROR(_xll.FDS(MO.Ticker.FactSet,"P_PRICE_AVG"&amp;"("&amp;INDEX(MO_SNA_FPStartDate,0,COLUMN())&amp;","&amp;INDEX(MO_Common_QEndDate,0,COLUMN())&amp;",,,,""PRICE"",""CLOSE"")"),"N/A")</f>
        <v>N/A</v>
      </c>
      <c r="AP684" s="289" t="str">
        <f ca="1">IFERROR(_xll.FDS(MO.Ticker.FactSet,"P_PRICE_AVG"&amp;"("&amp;INDEX(MO_SNA_FPStartDate,0,COLUMN())&amp;","&amp;INDEX(MO_Common_QEndDate,0,COLUMN())&amp;",,,,""PRICE"",""CLOSE"")"),"N/A")</f>
        <v>N/A</v>
      </c>
      <c r="AQ684" s="289" t="str">
        <f ca="1">IFERROR(_xll.FDS(MO.Ticker.FactSet,"P_PRICE_AVG"&amp;"("&amp;INDEX(MO_SNA_FPStartDate,0,COLUMN())&amp;","&amp;INDEX(MO_Common_QEndDate,0,COLUMN())&amp;",,,,""PRICE"",""CLOSE"")"),"N/A")</f>
        <v>N/A</v>
      </c>
      <c r="AR684" s="289" t="str">
        <f ca="1">IFERROR(_xll.FDS(MO.Ticker.FactSet,"P_PRICE_AVG"&amp;"("&amp;INDEX(MO_SNA_FPStartDate,0,COLUMN())&amp;","&amp;INDEX(MO_Common_QEndDate,0,COLUMN())&amp;",,,,""PRICE"",""CLOSE"")"),"N/A")</f>
        <v>N/A</v>
      </c>
      <c r="AS684" s="289" t="str">
        <f ca="1">IFERROR(_xll.FDS(MO.Ticker.FactSet,"P_PRICE_AVG"&amp;"("&amp;INDEX(MO_SNA_FPStartDate,0,COLUMN())&amp;","&amp;INDEX(MO_Common_QEndDate,0,COLUMN())&amp;",,,,""PRICE"",""CLOSE"")"),"N/A")</f>
        <v>N/A</v>
      </c>
      <c r="AT684" s="289" t="str">
        <f ca="1">IFERROR(_xll.FDS(MO.Ticker.FactSet,"P_PRICE_AVG"&amp;"("&amp;INDEX(MO_SNA_FPStartDate,0,COLUMN())&amp;","&amp;INDEX(MO_Common_QEndDate,0,COLUMN())&amp;",,,,""PRICE"",""CLOSE"")"),"N/A")</f>
        <v>N/A</v>
      </c>
      <c r="AU684" s="289" t="str">
        <f ca="1">IFERROR(_xll.FDS(MO.Ticker.FactSet,"P_PRICE_AVG"&amp;"("&amp;INDEX(MO_SNA_FPStartDate,0,COLUMN())&amp;","&amp;INDEX(MO_Common_QEndDate,0,COLUMN())&amp;",,,,""PRICE"",""CLOSE"")"),"N/A")</f>
        <v>N/A</v>
      </c>
      <c r="AV684" s="289" t="str">
        <f ca="1">IFERROR(_xll.FDS(MO.Ticker.FactSet,"P_PRICE_AVG"&amp;"("&amp;INDEX(MO_SNA_FPStartDate,0,COLUMN())&amp;","&amp;INDEX(MO_Common_QEndDate,0,COLUMN())&amp;",,,,""PRICE"",""CLOSE"")"),"N/A")</f>
        <v>N/A</v>
      </c>
      <c r="AW684" s="289" t="str">
        <f ca="1">IFERROR(_xll.FDS(MO.Ticker.FactSet,"P_PRICE_AVG"&amp;"("&amp;INDEX(MO_SNA_FPStartDate,0,COLUMN())&amp;","&amp;INDEX(MO_Common_QEndDate,0,COLUMN())&amp;",,,,""PRICE"",""CLOSE"")"),"N/A")</f>
        <v>N/A</v>
      </c>
      <c r="AX684" s="289" t="str">
        <f ca="1">IFERROR(_xll.FDS(MO.Ticker.FactSet,"P_PRICE_AVG"&amp;"("&amp;INDEX(MO_SNA_FPStartDate,0,COLUMN())&amp;","&amp;INDEX(MO_Common_QEndDate,0,COLUMN())&amp;",,,,""PRICE"",""CLOSE"")"),"N/A")</f>
        <v>N/A</v>
      </c>
      <c r="AY684" s="289" t="str">
        <f ca="1">IFERROR(_xll.FDS(MO.Ticker.FactSet,"P_PRICE_AVG"&amp;"("&amp;INDEX(MO_SNA_FPStartDate,0,COLUMN())&amp;","&amp;INDEX(MO_Common_QEndDate,0,COLUMN())&amp;",,,,""PRICE"",""CLOSE"")"),"N/A")</f>
        <v>N/A</v>
      </c>
      <c r="AZ684" s="289" t="str">
        <f ca="1">IFERROR(_xll.FDS(MO.Ticker.FactSet,"P_PRICE_AVG"&amp;"("&amp;INDEX(MO_SNA_FPStartDate,0,COLUMN())&amp;","&amp;INDEX(MO_Common_QEndDate,0,COLUMN())&amp;",,,,""PRICE"",""CLOSE"")"),"N/A")</f>
        <v>N/A</v>
      </c>
      <c r="BA684" s="289" t="str">
        <f ca="1">IFERROR(_xll.FDS(MO.Ticker.FactSet,"P_PRICE_AVG"&amp;"("&amp;INDEX(MO_SNA_FPStartDate,0,COLUMN())&amp;","&amp;INDEX(MO_Common_QEndDate,0,COLUMN())&amp;",,,,""PRICE"",""CLOSE"")"),"N/A")</f>
        <v>N/A</v>
      </c>
      <c r="BB684" s="289" t="str">
        <f ca="1">IFERROR(_xll.FDS(MO.Ticker.FactSet,"P_PRICE_AVG"&amp;"("&amp;INDEX(MO_SNA_FPStartDate,0,COLUMN())&amp;","&amp;INDEX(MO_Common_QEndDate,0,COLUMN())&amp;",,,,""PRICE"",""CLOSE"")"),"N/A")</f>
        <v>N/A</v>
      </c>
      <c r="BC684" s="289" t="str">
        <f ca="1">IFERROR(_xll.FDS(MO.Ticker.FactSet,"P_PRICE_AVG"&amp;"("&amp;INDEX(MO_SNA_FPStartDate,0,COLUMN())&amp;","&amp;INDEX(MO_Common_QEndDate,0,COLUMN())&amp;",,,,""PRICE"",""CLOSE"")"),"N/A")</f>
        <v>N/A</v>
      </c>
      <c r="BD684" s="289" t="str">
        <f ca="1">IFERROR(_xll.FDS(MO.Ticker.FactSet,"P_PRICE_AVG"&amp;"("&amp;INDEX(MO_SNA_FPStartDate,0,COLUMN())&amp;","&amp;INDEX(MO_Common_QEndDate,0,COLUMN())&amp;",,,,""PRICE"",""CLOSE"")"),"N/A")</f>
        <v>N/A</v>
      </c>
      <c r="BE684" s="289" t="str">
        <f ca="1">IFERROR(_xll.FDS(MO.Ticker.FactSet,"P_PRICE_AVG"&amp;"("&amp;INDEX(MO_SNA_FPStartDate,0,COLUMN())&amp;","&amp;INDEX(MO_Common_QEndDate,0,COLUMN())&amp;",,,,""PRICE"",""CLOSE"")"),"N/A")</f>
        <v>N/A</v>
      </c>
      <c r="BF684" s="289" t="str">
        <f ca="1">IFERROR(_xll.FDS(MO.Ticker.FactSet,"P_PRICE_AVG"&amp;"("&amp;INDEX(MO_SNA_FPStartDate,0,COLUMN())&amp;","&amp;INDEX(MO_Common_QEndDate,0,COLUMN())&amp;",,,,""PRICE"",""CLOSE"")"),"N/A")</f>
        <v>N/A</v>
      </c>
      <c r="BG684" s="289" t="str">
        <f ca="1">IFERROR(_xll.FDS(MO.Ticker.FactSet,"P_PRICE_AVG"&amp;"("&amp;INDEX(MO_SNA_FPStartDate,0,COLUMN())&amp;","&amp;INDEX(MO_Common_QEndDate,0,COLUMN())&amp;",,,,""PRICE"",""CLOSE"")"),"N/A")</f>
        <v>N/A</v>
      </c>
      <c r="BH684" s="266" t="str">
        <f ca="1">IFERROR(_xll.FDS(MO.Ticker.FactSet,"P_PRICE_AVG"&amp;"("&amp;INDEX(MO_SNA_FPStartDate,0,COLUMN())&amp;","&amp;INDEX(MO_Common_QEndDate,0,COLUMN())&amp;",,,,""PRICE"",""CLOSE"")"),"N/A")</f>
        <v>N/A</v>
      </c>
      <c r="BI684" s="257" t="str">
        <f ca="1">IFERROR(_xll.FDS(MO.Ticker.FactSet,"P_PRICE_AVG"&amp;"("&amp;INDEX(MO_SNA_FPStartDate,0,COLUMN())&amp;","&amp;INDEX(MO_Common_QEndDate,0,COLUMN())&amp;",,,,""PRICE"",""CLOSE"")"),"N/A")</f>
        <v>N/A</v>
      </c>
      <c r="BJ684" s="257" t="str">
        <f ca="1">IFERROR(_xll.FDS(MO.Ticker.FactSet,"P_PRICE_AVG"&amp;"("&amp;INDEX(MO_SNA_FPStartDate,0,COLUMN())&amp;","&amp;INDEX(MO_Common_QEndDate,0,COLUMN())&amp;",,,,""PRICE"",""CLOSE"")"),"N/A")</f>
        <v>N/A</v>
      </c>
      <c r="BK684" s="257" t="str">
        <f ca="1">IFERROR(_xll.FDS(MO.Ticker.FactSet,"P_PRICE_AVG"&amp;"("&amp;INDEX(MO_SNA_FPStartDate,0,COLUMN())&amp;","&amp;INDEX(MO_Common_QEndDate,0,COLUMN())&amp;",,,,""PRICE"",""CLOSE"")"),"N/A")</f>
        <v>N/A</v>
      </c>
      <c r="BL684" s="257" t="str">
        <f ca="1">IFERROR(_xll.FDS(MO.Ticker.FactSet,"P_PRICE_AVG"&amp;"("&amp;INDEX(MO_SNA_FPStartDate,0,COLUMN())&amp;","&amp;INDEX(MO_Common_QEndDate,0,COLUMN())&amp;",,,,""PRICE"",""CLOSE"")"),"N/A")</f>
        <v>N/A</v>
      </c>
      <c r="BM684" s="257" t="str">
        <f ca="1">IFERROR(_xll.FDS(MO.Ticker.FactSet,"P_PRICE_AVG"&amp;"("&amp;INDEX(MO_SNA_FPStartDate,0,COLUMN())&amp;","&amp;INDEX(MO_Common_QEndDate,0,COLUMN())&amp;",,,,""PRICE"",""CLOSE"")"),"N/A")</f>
        <v>N/A</v>
      </c>
      <c r="BN684" s="257" t="str">
        <f ca="1">IFERROR(_xll.FDS(MO.Ticker.FactSet,"P_PRICE_AVG"&amp;"("&amp;INDEX(MO_SNA_FPStartDate,0,COLUMN())&amp;","&amp;INDEX(MO_Common_QEndDate,0,COLUMN())&amp;",,,,""PRICE"",""CLOSE"")"),"N/A")</f>
        <v>N/A</v>
      </c>
      <c r="BO684" s="257" t="str">
        <f ca="1">IFERROR(_xll.FDS(MO.Ticker.FactSet,"P_PRICE_AVG"&amp;"("&amp;INDEX(MO_SNA_FPStartDate,0,COLUMN())&amp;","&amp;INDEX(MO_Common_QEndDate,0,COLUMN())&amp;",,,,""PRICE"",""CLOSE"")"),"N/A")</f>
        <v>N/A</v>
      </c>
      <c r="BP684" s="289" t="str">
        <f ca="1">IFERROR(_xll.FDS(MO.Ticker.FactSet,"P_PRICE_AVG"&amp;"("&amp;INDEX(MO_SNA_FPStartDate,0,COLUMN())&amp;","&amp;INDEX(MO_Common_QEndDate,0,COLUMN())&amp;",,,,""PRICE"",""CLOSE"")"),"N/A")</f>
        <v>N/A</v>
      </c>
      <c r="BQ684" s="289" t="str">
        <f ca="1">IFERROR(_xll.FDS(MO.Ticker.FactSet,"P_PRICE_AVG"&amp;"("&amp;INDEX(MO_SNA_FPStartDate,0,COLUMN())&amp;","&amp;INDEX(MO_Common_QEndDate,0,COLUMN())&amp;",,,,""PRICE"",""CLOSE"")"),"N/A")</f>
        <v>N/A</v>
      </c>
      <c r="BR684" s="258" t="str">
        <f ca="1">IFERROR(_xll.FDS(MO.Ticker.FactSet,"P_PRICE_AVG"&amp;"("&amp;INDEX(MO_SNA_FPStartDate,0,COLUMN())&amp;","&amp;INDEX(MO_Common_QEndDate,0,COLUMN())&amp;",,,,""PRICE"",""CLOSE"")"),"N/A")</f>
        <v>N/A</v>
      </c>
      <c r="BS684" s="371"/>
    </row>
    <row r="685" spans="1:71" s="690" customFormat="1" ht="15" hidden="1" outlineLevel="1">
      <c r="A685" s="259" t="s">
        <v>513</v>
      </c>
      <c r="B685" s="257"/>
      <c r="C685" s="436" t="str">
        <f ca="1">IFERROR(_xll.TR(MO.Ticker.Thomson,"AVG(TR.Priceclose)","sdate:#1 edate:#2",,INDEX(MO_SNA_FPStartDate,0,COLUMN()),INDEX(MO_Common_QEndDate,0,COLUMN())),"N/A")</f>
        <v>N/A</v>
      </c>
      <c r="D685" s="436" t="str">
        <f ca="1">IFERROR(_xll.TR(MO.Ticker.Thomson,"AVG(TR.Priceclose)","sdate:#1 edate:#2",,INDEX(MO_SNA_FPStartDate,0,COLUMN()),INDEX(MO_Common_QEndDate,0,COLUMN())),"N/A")</f>
        <v>N/A</v>
      </c>
      <c r="E685" s="289" t="str">
        <f ca="1">IFERROR(_xll.TR(MO.Ticker.Thomson,"AVG(TR.Priceclose)","sdate:#1 edate:#2",,INDEX(MO_SNA_FPStartDate,0,COLUMN()),INDEX(MO_Common_QEndDate,0,COLUMN())),"N/A")</f>
        <v>N/A</v>
      </c>
      <c r="F685" s="289" t="str">
        <f ca="1">IFERROR(_xll.TR(MO.Ticker.Thomson,"AVG(TR.Priceclose)","sdate:#1 edate:#2",,INDEX(MO_SNA_FPStartDate,0,COLUMN()),INDEX(MO_Common_QEndDate,0,COLUMN())),"N/A")</f>
        <v>N/A</v>
      </c>
      <c r="G685" s="289" t="str">
        <f ca="1">IFERROR(_xll.TR(MO.Ticker.Thomson,"AVG(TR.Priceclose)","sdate:#1 edate:#2",,INDEX(MO_SNA_FPStartDate,0,COLUMN()),INDEX(MO_Common_QEndDate,0,COLUMN())),"N/A")</f>
        <v>N/A</v>
      </c>
      <c r="H685" s="289" t="str">
        <f ca="1">IFERROR(_xll.TR(MO.Ticker.Thomson,"AVG(TR.Priceclose)","sdate:#1 edate:#2",,INDEX(MO_SNA_FPStartDate,0,COLUMN()),INDEX(MO_Common_QEndDate,0,COLUMN())),"N/A")</f>
        <v>N/A</v>
      </c>
      <c r="I685" s="289" t="str">
        <f ca="1">IFERROR(_xll.TR(MO.Ticker.Thomson,"AVG(TR.Priceclose)","sdate:#1 edate:#2",,INDEX(MO_SNA_FPStartDate,0,COLUMN()),INDEX(MO_Common_QEndDate,0,COLUMN())),"N/A")</f>
        <v>N/A</v>
      </c>
      <c r="J685" s="289" t="str">
        <f ca="1">IFERROR(_xll.TR(MO.Ticker.Thomson,"AVG(TR.Priceclose)","sdate:#1 edate:#2",,INDEX(MO_SNA_FPStartDate,0,COLUMN()),INDEX(MO_Common_QEndDate,0,COLUMN())),"N/A")</f>
        <v>N/A</v>
      </c>
      <c r="K685" s="289" t="str">
        <f ca="1">IFERROR(_xll.TR(MO.Ticker.Thomson,"AVG(TR.Priceclose)","sdate:#1 edate:#2",,INDEX(MO_SNA_FPStartDate,0,COLUMN()),INDEX(MO_Common_QEndDate,0,COLUMN())),"N/A")</f>
        <v>N/A</v>
      </c>
      <c r="L685" s="289" t="str">
        <f ca="1">IFERROR(_xll.TR(MO.Ticker.Thomson,"AVG(TR.Priceclose)","sdate:#1 edate:#2",,INDEX(MO_SNA_FPStartDate,0,COLUMN()),INDEX(MO_Common_QEndDate,0,COLUMN())),"N/A")</f>
        <v>N/A</v>
      </c>
      <c r="M685" s="289" t="str">
        <f ca="1">IFERROR(_xll.TR(MO.Ticker.Thomson,"AVG(TR.Priceclose)","sdate:#1 edate:#2",,INDEX(MO_SNA_FPStartDate,0,COLUMN()),INDEX(MO_Common_QEndDate,0,COLUMN())),"N/A")</f>
        <v>N/A</v>
      </c>
      <c r="N685" s="289" t="str">
        <f ca="1">IFERROR(_xll.TR(MO.Ticker.Thomson,"AVG(TR.Priceclose)","sdate:#1 edate:#2",,INDEX(MO_SNA_FPStartDate,0,COLUMN()),INDEX(MO_Common_QEndDate,0,COLUMN())),"N/A")</f>
        <v>N/A</v>
      </c>
      <c r="O685" s="289" t="str">
        <f ca="1">IFERROR(_xll.TR(MO.Ticker.Thomson,"AVG(TR.Priceclose)","sdate:#1 edate:#2",,INDEX(MO_SNA_FPStartDate,0,COLUMN()),INDEX(MO_Common_QEndDate,0,COLUMN())),"N/A")</f>
        <v>N/A</v>
      </c>
      <c r="P685" s="289" t="str">
        <f ca="1">IFERROR(_xll.TR(MO.Ticker.Thomson,"AVG(TR.Priceclose)","sdate:#1 edate:#2",,INDEX(MO_SNA_FPStartDate,0,COLUMN()),INDEX(MO_Common_QEndDate,0,COLUMN())),"N/A")</f>
        <v>N/A</v>
      </c>
      <c r="Q685" s="289" t="str">
        <f ca="1">IFERROR(_xll.TR(MO.Ticker.Thomson,"AVG(TR.Priceclose)","sdate:#1 edate:#2",,INDEX(MO_SNA_FPStartDate,0,COLUMN()),INDEX(MO_Common_QEndDate,0,COLUMN())),"N/A")</f>
        <v>N/A</v>
      </c>
      <c r="R685" s="289" t="str">
        <f ca="1">IFERROR(_xll.TR(MO.Ticker.Thomson,"AVG(TR.Priceclose)","sdate:#1 edate:#2",,INDEX(MO_SNA_FPStartDate,0,COLUMN()),INDEX(MO_Common_QEndDate,0,COLUMN())),"N/A")</f>
        <v>N/A</v>
      </c>
      <c r="S685" s="289" t="str">
        <f ca="1">IFERROR(_xll.TR(MO.Ticker.Thomson,"AVG(TR.Priceclose)","sdate:#1 edate:#2",,INDEX(MO_SNA_FPStartDate,0,COLUMN()),INDEX(MO_Common_QEndDate,0,COLUMN())),"N/A")</f>
        <v>N/A</v>
      </c>
      <c r="T685" s="289" t="str">
        <f ca="1">IFERROR(_xll.TR(MO.Ticker.Thomson,"AVG(TR.Priceclose)","sdate:#1 edate:#2",,INDEX(MO_SNA_FPStartDate,0,COLUMN()),INDEX(MO_Common_QEndDate,0,COLUMN())),"N/A")</f>
        <v>N/A</v>
      </c>
      <c r="U685" s="289" t="str">
        <f ca="1">IFERROR(_xll.TR(MO.Ticker.Thomson,"AVG(TR.Priceclose)","sdate:#1 edate:#2",,INDEX(MO_SNA_FPStartDate,0,COLUMN()),INDEX(MO_Common_QEndDate,0,COLUMN())),"N/A")</f>
        <v>N/A</v>
      </c>
      <c r="V685" s="289" t="str">
        <f ca="1">IFERROR(_xll.TR(MO.Ticker.Thomson,"AVG(TR.Priceclose)","sdate:#1 edate:#2",,INDEX(MO_SNA_FPStartDate,0,COLUMN()),INDEX(MO_Common_QEndDate,0,COLUMN())),"N/A")</f>
        <v>N/A</v>
      </c>
      <c r="W685" s="289" t="str">
        <f ca="1">IFERROR(_xll.TR(MO.Ticker.Thomson,"AVG(TR.Priceclose)","sdate:#1 edate:#2",,INDEX(MO_SNA_FPStartDate,0,COLUMN()),INDEX(MO_Common_QEndDate,0,COLUMN())),"N/A")</f>
        <v>N/A</v>
      </c>
      <c r="X685" s="289" t="str">
        <f ca="1">IFERROR(_xll.TR(MO.Ticker.Thomson,"AVG(TR.Priceclose)","sdate:#1 edate:#2",,INDEX(MO_SNA_FPStartDate,0,COLUMN()),INDEX(MO_Common_QEndDate,0,COLUMN())),"N/A")</f>
        <v>N/A</v>
      </c>
      <c r="Y685" s="289" t="str">
        <f ca="1">IFERROR(_xll.TR(MO.Ticker.Thomson,"AVG(TR.Priceclose)","sdate:#1 edate:#2",,INDEX(MO_SNA_FPStartDate,0,COLUMN()),INDEX(MO_Common_QEndDate,0,COLUMN())),"N/A")</f>
        <v>N/A</v>
      </c>
      <c r="Z685" s="289" t="str">
        <f ca="1">IFERROR(_xll.TR(MO.Ticker.Thomson,"AVG(TR.Priceclose)","sdate:#1 edate:#2",,INDEX(MO_SNA_FPStartDate,0,COLUMN()),INDEX(MO_Common_QEndDate,0,COLUMN())),"N/A")</f>
        <v>N/A</v>
      </c>
      <c r="AA685" s="289" t="str">
        <f ca="1">IFERROR(_xll.TR(MO.Ticker.Thomson,"AVG(TR.Priceclose)","sdate:#1 edate:#2",,INDEX(MO_SNA_FPStartDate,0,COLUMN()),INDEX(MO_Common_QEndDate,0,COLUMN())),"N/A")</f>
        <v>N/A</v>
      </c>
      <c r="AB685" s="289" t="str">
        <f ca="1">IFERROR(_xll.TR(MO.Ticker.Thomson,"AVG(TR.Priceclose)","sdate:#1 edate:#2",,INDEX(MO_SNA_FPStartDate,0,COLUMN()),INDEX(MO_Common_QEndDate,0,COLUMN())),"N/A")</f>
        <v>N/A</v>
      </c>
      <c r="AC685" s="289" t="str">
        <f ca="1">IFERROR(_xll.TR(MO.Ticker.Thomson,"AVG(TR.Priceclose)","sdate:#1 edate:#2",,INDEX(MO_SNA_FPStartDate,0,COLUMN()),INDEX(MO_Common_QEndDate,0,COLUMN())),"N/A")</f>
        <v>N/A</v>
      </c>
      <c r="AD685" s="289" t="str">
        <f ca="1">IFERROR(_xll.TR(MO.Ticker.Thomson,"AVG(TR.Priceclose)","sdate:#1 edate:#2",,INDEX(MO_SNA_FPStartDate,0,COLUMN()),INDEX(MO_Common_QEndDate,0,COLUMN())),"N/A")</f>
        <v>N/A</v>
      </c>
      <c r="AE685" s="289" t="str">
        <f ca="1">IFERROR(_xll.TR(MO.Ticker.Thomson,"AVG(TR.Priceclose)","sdate:#1 edate:#2",,INDEX(MO_SNA_FPStartDate,0,COLUMN()),INDEX(MO_Common_QEndDate,0,COLUMN())),"N/A")</f>
        <v>N/A</v>
      </c>
      <c r="AF685" s="289" t="str">
        <f ca="1">IFERROR(_xll.TR(MO.Ticker.Thomson,"AVG(TR.Priceclose)","sdate:#1 edate:#2",,INDEX(MO_SNA_FPStartDate,0,COLUMN()),INDEX(MO_Common_QEndDate,0,COLUMN())),"N/A")</f>
        <v>N/A</v>
      </c>
      <c r="AG685" s="289" t="str">
        <f ca="1">IFERROR(_xll.TR(MO.Ticker.Thomson,"AVG(TR.Priceclose)","sdate:#1 edate:#2",,INDEX(MO_SNA_FPStartDate,0,COLUMN()),INDEX(MO_Common_QEndDate,0,COLUMN())),"N/A")</f>
        <v>N/A</v>
      </c>
      <c r="AH685" s="289" t="str">
        <f ca="1">IFERROR(_xll.TR(MO.Ticker.Thomson,"AVG(TR.Priceclose)","sdate:#1 edate:#2",,INDEX(MO_SNA_FPStartDate,0,COLUMN()),INDEX(MO_Common_QEndDate,0,COLUMN())),"N/A")</f>
        <v>N/A</v>
      </c>
      <c r="AI685" s="289" t="str">
        <f ca="1">IFERROR(_xll.TR(MO.Ticker.Thomson,"AVG(TR.Priceclose)","sdate:#1 edate:#2",,INDEX(MO_SNA_FPStartDate,0,COLUMN()),INDEX(MO_Common_QEndDate,0,COLUMN())),"N/A")</f>
        <v>N/A</v>
      </c>
      <c r="AJ685" s="289" t="str">
        <f ca="1">IFERROR(_xll.TR(MO.Ticker.Thomson,"AVG(TR.Priceclose)","sdate:#1 edate:#2",,INDEX(MO_SNA_FPStartDate,0,COLUMN()),INDEX(MO_Common_QEndDate,0,COLUMN())),"N/A")</f>
        <v>N/A</v>
      </c>
      <c r="AK685" s="289" t="str">
        <f ca="1">IFERROR(_xll.TR(MO.Ticker.Thomson,"AVG(TR.Priceclose)","sdate:#1 edate:#2",,INDEX(MO_SNA_FPStartDate,0,COLUMN()),INDEX(MO_Common_QEndDate,0,COLUMN())),"N/A")</f>
        <v>N/A</v>
      </c>
      <c r="AL685" s="289" t="str">
        <f ca="1">IFERROR(_xll.TR(MO.Ticker.Thomson,"AVG(TR.Priceclose)","sdate:#1 edate:#2",,INDEX(MO_SNA_FPStartDate,0,COLUMN()),INDEX(MO_Common_QEndDate,0,COLUMN())),"N/A")</f>
        <v>N/A</v>
      </c>
      <c r="AM685" s="289" t="str">
        <f ca="1">IFERROR(_xll.TR(MO.Ticker.Thomson,"AVG(TR.Priceclose)","sdate:#1 edate:#2",,INDEX(MO_SNA_FPStartDate,0,COLUMN()),INDEX(MO_Common_QEndDate,0,COLUMN())),"N/A")</f>
        <v>N/A</v>
      </c>
      <c r="AN685" s="289" t="str">
        <f ca="1">IFERROR(_xll.TR(MO.Ticker.Thomson,"AVG(TR.Priceclose)","sdate:#1 edate:#2",,INDEX(MO_SNA_FPStartDate,0,COLUMN()),INDEX(MO_Common_QEndDate,0,COLUMN())),"N/A")</f>
        <v>N/A</v>
      </c>
      <c r="AO685" s="289" t="str">
        <f ca="1">IFERROR(_xll.TR(MO.Ticker.Thomson,"AVG(TR.Priceclose)","sdate:#1 edate:#2",,INDEX(MO_SNA_FPStartDate,0,COLUMN()),INDEX(MO_Common_QEndDate,0,COLUMN())),"N/A")</f>
        <v>N/A</v>
      </c>
      <c r="AP685" s="289" t="str">
        <f ca="1">IFERROR(_xll.TR(MO.Ticker.Thomson,"AVG(TR.Priceclose)","sdate:#1 edate:#2",,INDEX(MO_SNA_FPStartDate,0,COLUMN()),INDEX(MO_Common_QEndDate,0,COLUMN())),"N/A")</f>
        <v>N/A</v>
      </c>
      <c r="AQ685" s="289" t="str">
        <f ca="1">IFERROR(_xll.TR(MO.Ticker.Thomson,"AVG(TR.Priceclose)","sdate:#1 edate:#2",,INDEX(MO_SNA_FPStartDate,0,COLUMN()),INDEX(MO_Common_QEndDate,0,COLUMN())),"N/A")</f>
        <v>N/A</v>
      </c>
      <c r="AR685" s="289" t="str">
        <f ca="1">IFERROR(_xll.TR(MO.Ticker.Thomson,"AVG(TR.Priceclose)","sdate:#1 edate:#2",,INDEX(MO_SNA_FPStartDate,0,COLUMN()),INDEX(MO_Common_QEndDate,0,COLUMN())),"N/A")</f>
        <v>N/A</v>
      </c>
      <c r="AS685" s="289" t="str">
        <f ca="1">IFERROR(_xll.TR(MO.Ticker.Thomson,"AVG(TR.Priceclose)","sdate:#1 edate:#2",,INDEX(MO_SNA_FPStartDate,0,COLUMN()),INDEX(MO_Common_QEndDate,0,COLUMN())),"N/A")</f>
        <v>N/A</v>
      </c>
      <c r="AT685" s="289" t="str">
        <f ca="1">IFERROR(_xll.TR(MO.Ticker.Thomson,"AVG(TR.Priceclose)","sdate:#1 edate:#2",,INDEX(MO_SNA_FPStartDate,0,COLUMN()),INDEX(MO_Common_QEndDate,0,COLUMN())),"N/A")</f>
        <v>N/A</v>
      </c>
      <c r="AU685" s="289" t="str">
        <f ca="1">IFERROR(_xll.TR(MO.Ticker.Thomson,"AVG(TR.Priceclose)","sdate:#1 edate:#2",,INDEX(MO_SNA_FPStartDate,0,COLUMN()),INDEX(MO_Common_QEndDate,0,COLUMN())),"N/A")</f>
        <v>N/A</v>
      </c>
      <c r="AV685" s="289" t="str">
        <f ca="1">IFERROR(_xll.TR(MO.Ticker.Thomson,"AVG(TR.Priceclose)","sdate:#1 edate:#2",,INDEX(MO_SNA_FPStartDate,0,COLUMN()),INDEX(MO_Common_QEndDate,0,COLUMN())),"N/A")</f>
        <v>N/A</v>
      </c>
      <c r="AW685" s="289" t="str">
        <f ca="1">IFERROR(_xll.TR(MO.Ticker.Thomson,"AVG(TR.Priceclose)","sdate:#1 edate:#2",,INDEX(MO_SNA_FPStartDate,0,COLUMN()),INDEX(MO_Common_QEndDate,0,COLUMN())),"N/A")</f>
        <v>N/A</v>
      </c>
      <c r="AX685" s="289" t="str">
        <f ca="1">IFERROR(_xll.TR(MO.Ticker.Thomson,"AVG(TR.Priceclose)","sdate:#1 edate:#2",,INDEX(MO_SNA_FPStartDate,0,COLUMN()),INDEX(MO_Common_QEndDate,0,COLUMN())),"N/A")</f>
        <v>N/A</v>
      </c>
      <c r="AY685" s="289" t="str">
        <f ca="1">IFERROR(_xll.TR(MO.Ticker.Thomson,"AVG(TR.Priceclose)","sdate:#1 edate:#2",,INDEX(MO_SNA_FPStartDate,0,COLUMN()),INDEX(MO_Common_QEndDate,0,COLUMN())),"N/A")</f>
        <v>N/A</v>
      </c>
      <c r="AZ685" s="289" t="str">
        <f ca="1">IFERROR(_xll.TR(MO.Ticker.Thomson,"AVG(TR.Priceclose)","sdate:#1 edate:#2",,INDEX(MO_SNA_FPStartDate,0,COLUMN()),INDEX(MO_Common_QEndDate,0,COLUMN())),"N/A")</f>
        <v>N/A</v>
      </c>
      <c r="BA685" s="289" t="str">
        <f ca="1">IFERROR(_xll.TR(MO.Ticker.Thomson,"AVG(TR.Priceclose)","sdate:#1 edate:#2",,INDEX(MO_SNA_FPStartDate,0,COLUMN()),INDEX(MO_Common_QEndDate,0,COLUMN())),"N/A")</f>
        <v>N/A</v>
      </c>
      <c r="BB685" s="289" t="str">
        <f ca="1">IFERROR(_xll.TR(MO.Ticker.Thomson,"AVG(TR.Priceclose)","sdate:#1 edate:#2",,INDEX(MO_SNA_FPStartDate,0,COLUMN()),INDEX(MO_Common_QEndDate,0,COLUMN())),"N/A")</f>
        <v>N/A</v>
      </c>
      <c r="BC685" s="289" t="str">
        <f ca="1">IFERROR(_xll.TR(MO.Ticker.Thomson,"AVG(TR.Priceclose)","sdate:#1 edate:#2",,INDEX(MO_SNA_FPStartDate,0,COLUMN()),INDEX(MO_Common_QEndDate,0,COLUMN())),"N/A")</f>
        <v>N/A</v>
      </c>
      <c r="BD685" s="289" t="str">
        <f ca="1">IFERROR(_xll.TR(MO.Ticker.Thomson,"AVG(TR.Priceclose)","sdate:#1 edate:#2",,INDEX(MO_SNA_FPStartDate,0,COLUMN()),INDEX(MO_Common_QEndDate,0,COLUMN())),"N/A")</f>
        <v>N/A</v>
      </c>
      <c r="BE685" s="289" t="str">
        <f ca="1">IFERROR(_xll.TR(MO.Ticker.Thomson,"AVG(TR.Priceclose)","sdate:#1 edate:#2",,INDEX(MO_SNA_FPStartDate,0,COLUMN()),INDEX(MO_Common_QEndDate,0,COLUMN())),"N/A")</f>
        <v>N/A</v>
      </c>
      <c r="BF685" s="289" t="str">
        <f ca="1">IFERROR(_xll.TR(MO.Ticker.Thomson,"AVG(TR.Priceclose)","sdate:#1 edate:#2",,INDEX(MO_SNA_FPStartDate,0,COLUMN()),INDEX(MO_Common_QEndDate,0,COLUMN())),"N/A")</f>
        <v>N/A</v>
      </c>
      <c r="BG685" s="289" t="str">
        <f ca="1">IFERROR(_xll.TR(MO.Ticker.Thomson,"AVG(TR.Priceclose)","sdate:#1 edate:#2",,INDEX(MO_SNA_FPStartDate,0,COLUMN()),INDEX(MO_Common_QEndDate,0,COLUMN())),"N/A")</f>
        <v>N/A</v>
      </c>
      <c r="BH685" s="266" t="str">
        <f ca="1">IFERROR(_xll.TR(MO.Ticker.Thomson,"AVG(TR.Priceclose)","sdate:#1 edate:#2",,INDEX(MO_SNA_FPStartDate,0,COLUMN()),INDEX(MO_Common_QEndDate,0,COLUMN())),"N/A")</f>
        <v>N/A</v>
      </c>
      <c r="BI685" s="257" t="str">
        <f ca="1">IFERROR(_xll.TR(MO.Ticker.Thomson,"AVG(TR.Priceclose)","sdate:#1 edate:#2",,INDEX(MO_SNA_FPStartDate,0,COLUMN()),INDEX(MO_Common_QEndDate,0,COLUMN())),"N/A")</f>
        <v>N/A</v>
      </c>
      <c r="BJ685" s="257" t="str">
        <f ca="1">IFERROR(_xll.TR(MO.Ticker.Thomson,"AVG(TR.Priceclose)","sdate:#1 edate:#2",,INDEX(MO_SNA_FPStartDate,0,COLUMN()),INDEX(MO_Common_QEndDate,0,COLUMN())),"N/A")</f>
        <v>N/A</v>
      </c>
      <c r="BK685" s="257" t="str">
        <f ca="1">IFERROR(_xll.TR(MO.Ticker.Thomson,"AVG(TR.Priceclose)","sdate:#1 edate:#2",,INDEX(MO_SNA_FPStartDate,0,COLUMN()),INDEX(MO_Common_QEndDate,0,COLUMN())),"N/A")</f>
        <v>N/A</v>
      </c>
      <c r="BL685" s="257" t="str">
        <f ca="1">IFERROR(_xll.TR(MO.Ticker.Thomson,"AVG(TR.Priceclose)","sdate:#1 edate:#2",,INDEX(MO_SNA_FPStartDate,0,COLUMN()),INDEX(MO_Common_QEndDate,0,COLUMN())),"N/A")</f>
        <v>N/A</v>
      </c>
      <c r="BM685" s="257" t="str">
        <f ca="1">IFERROR(_xll.TR(MO.Ticker.Thomson,"AVG(TR.Priceclose)","sdate:#1 edate:#2",,INDEX(MO_SNA_FPStartDate,0,COLUMN()),INDEX(MO_Common_QEndDate,0,COLUMN())),"N/A")</f>
        <v>N/A</v>
      </c>
      <c r="BN685" s="257" t="str">
        <f ca="1">IFERROR(_xll.TR(MO.Ticker.Thomson,"AVG(TR.Priceclose)","sdate:#1 edate:#2",,INDEX(MO_SNA_FPStartDate,0,COLUMN()),INDEX(MO_Common_QEndDate,0,COLUMN())),"N/A")</f>
        <v>N/A</v>
      </c>
      <c r="BO685" s="257" t="str">
        <f ca="1">IFERROR(_xll.TR(MO.Ticker.Thomson,"AVG(TR.Priceclose)","sdate:#1 edate:#2",,INDEX(MO_SNA_FPStartDate,0,COLUMN()),INDEX(MO_Common_QEndDate,0,COLUMN())),"N/A")</f>
        <v>N/A</v>
      </c>
      <c r="BP685" s="289" t="str">
        <f ca="1">IFERROR(_xll.TR(MO.Ticker.Thomson,"AVG(TR.Priceclose)","sdate:#1 edate:#2",,INDEX(MO_SNA_FPStartDate,0,COLUMN()),INDEX(MO_Common_QEndDate,0,COLUMN())),"N/A")</f>
        <v>N/A</v>
      </c>
      <c r="BQ685" s="289" t="str">
        <f ca="1">IFERROR(_xll.TR(MO.Ticker.Thomson,"AVG(TR.Priceclose)","sdate:#1 edate:#2",,INDEX(MO_SNA_FPStartDate,0,COLUMN()),INDEX(MO_Common_QEndDate,0,COLUMN())),"N/A")</f>
        <v>N/A</v>
      </c>
      <c r="BR685" s="258" t="str">
        <f ca="1">IFERROR(_xll.TR(MO.Ticker.Thomson,"AVG(TR.Priceclose)","sdate:#1 edate:#2",,INDEX(MO_SNA_FPStartDate,0,COLUMN()),INDEX(MO_Common_QEndDate,0,COLUMN())),"N/A")</f>
        <v>N/A</v>
      </c>
      <c r="BS685" s="371"/>
    </row>
    <row r="686" spans="1:71" s="692" customFormat="1" ht="15" hidden="1" outlineLevel="1">
      <c r="A686" s="245"/>
      <c r="B686" s="954"/>
      <c r="C686" s="437"/>
      <c r="D686" s="437"/>
      <c r="E686" s="952"/>
      <c r="F686" s="952"/>
      <c r="G686" s="952"/>
      <c r="H686" s="952"/>
      <c r="I686" s="952"/>
      <c r="J686" s="952"/>
      <c r="K686" s="952"/>
      <c r="L686" s="952"/>
      <c r="M686" s="952"/>
      <c r="N686" s="952"/>
      <c r="O686" s="952"/>
      <c r="P686" s="952"/>
      <c r="Q686" s="952"/>
      <c r="R686" s="952"/>
      <c r="S686" s="952"/>
      <c r="T686" s="952"/>
      <c r="U686" s="952"/>
      <c r="V686" s="952"/>
      <c r="W686" s="952"/>
      <c r="X686" s="952"/>
      <c r="Y686" s="952"/>
      <c r="Z686" s="952"/>
      <c r="AA686" s="952"/>
      <c r="AB686" s="952"/>
      <c r="AC686" s="952"/>
      <c r="AD686" s="952"/>
      <c r="AE686" s="952"/>
      <c r="AF686" s="952"/>
      <c r="AG686" s="952"/>
      <c r="AH686" s="952"/>
      <c r="AI686" s="952"/>
      <c r="AJ686" s="952"/>
      <c r="AK686" s="952"/>
      <c r="AL686" s="952"/>
      <c r="AM686" s="952"/>
      <c r="AN686" s="952"/>
      <c r="AO686" s="952"/>
      <c r="AP686" s="952"/>
      <c r="AQ686" s="952"/>
      <c r="AR686" s="952"/>
      <c r="AS686" s="952"/>
      <c r="AT686" s="952"/>
      <c r="AU686" s="952"/>
      <c r="AV686" s="952"/>
      <c r="AW686" s="952"/>
      <c r="AX686" s="952"/>
      <c r="AY686" s="952"/>
      <c r="AZ686" s="952"/>
      <c r="BA686" s="952"/>
      <c r="BB686" s="952"/>
      <c r="BC686" s="952"/>
      <c r="BD686" s="952"/>
      <c r="BE686" s="952"/>
      <c r="BF686" s="952"/>
      <c r="BG686" s="952"/>
      <c r="BH686" s="953"/>
      <c r="BI686" s="954"/>
      <c r="BJ686" s="954"/>
      <c r="BK686" s="954"/>
      <c r="BL686" s="954"/>
      <c r="BM686" s="954"/>
      <c r="BN686" s="954"/>
      <c r="BO686" s="954"/>
      <c r="BP686" s="952"/>
      <c r="BQ686" s="952"/>
      <c r="BR686" s="244"/>
      <c r="BS686" s="366"/>
    </row>
    <row r="687" spans="1:71" s="691" customFormat="1" ht="15" collapsed="1">
      <c r="A687" s="260" t="str">
        <f ca="1">"FX Average: "&amp;IF(OR(MO.RealTimeStockPriceToggle=FALSE,VLOOKUP(MO.DataSourceName,MO_SPT_FXAverage_Sources,COLUMN()+2,FALSE)="N/A"),"Real-Time Off Source",MO.DataSourceName)</f>
        <v>FX Average: Real-Time Off Source</v>
      </c>
      <c r="B687" s="634"/>
      <c r="C687" s="633">
        <f ca="1" t="shared" si="1395" ref="C687:AH687">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D687" s="633">
        <f t="shared" ca="1" si="1395"/>
        <v>1</v>
      </c>
      <c r="E687" s="634">
        <f t="shared" ca="1" si="1395"/>
        <v>1</v>
      </c>
      <c r="F687" s="634">
        <f t="shared" ca="1" si="1395"/>
        <v>1</v>
      </c>
      <c r="G687" s="634">
        <f t="shared" ca="1" si="1395"/>
        <v>1</v>
      </c>
      <c r="H687" s="634">
        <f t="shared" ca="1" si="1395"/>
        <v>1</v>
      </c>
      <c r="I687" s="634">
        <f t="shared" ca="1" si="1395"/>
        <v>1</v>
      </c>
      <c r="J687" s="634">
        <f t="shared" ca="1" si="1395"/>
        <v>1</v>
      </c>
      <c r="K687" s="634">
        <f t="shared" ca="1" si="1395"/>
        <v>1</v>
      </c>
      <c r="L687" s="634">
        <f t="shared" ca="1" si="1395"/>
        <v>1</v>
      </c>
      <c r="M687" s="634">
        <f t="shared" ca="1" si="1395"/>
        <v>1</v>
      </c>
      <c r="N687" s="634">
        <f t="shared" ca="1" si="1395"/>
        <v>1</v>
      </c>
      <c r="O687" s="634">
        <f t="shared" ca="1" si="1395"/>
        <v>1</v>
      </c>
      <c r="P687" s="634">
        <f t="shared" ca="1" si="1395"/>
        <v>1</v>
      </c>
      <c r="Q687" s="634">
        <f t="shared" ca="1" si="1395"/>
        <v>1</v>
      </c>
      <c r="R687" s="634">
        <f t="shared" ca="1" si="1395"/>
        <v>1</v>
      </c>
      <c r="S687" s="634">
        <f t="shared" ca="1" si="1395"/>
        <v>1</v>
      </c>
      <c r="T687" s="634">
        <f t="shared" ca="1" si="1395"/>
        <v>1</v>
      </c>
      <c r="U687" s="634">
        <f t="shared" ca="1" si="1395"/>
        <v>1</v>
      </c>
      <c r="V687" s="634">
        <f t="shared" ca="1" si="1395"/>
        <v>1</v>
      </c>
      <c r="W687" s="634">
        <f t="shared" ca="1" si="1395"/>
        <v>1</v>
      </c>
      <c r="X687" s="634">
        <f t="shared" ca="1" si="1395"/>
        <v>1</v>
      </c>
      <c r="Y687" s="634">
        <f t="shared" ca="1" si="1395"/>
        <v>1</v>
      </c>
      <c r="Z687" s="634">
        <f t="shared" ca="1" si="1395"/>
        <v>1</v>
      </c>
      <c r="AA687" s="634">
        <f t="shared" ca="1" si="1395"/>
        <v>1</v>
      </c>
      <c r="AB687" s="634">
        <f t="shared" ca="1" si="1395"/>
        <v>1</v>
      </c>
      <c r="AC687" s="634">
        <f t="shared" ca="1" si="1395"/>
        <v>1</v>
      </c>
      <c r="AD687" s="634">
        <f t="shared" ca="1" si="1395"/>
        <v>1</v>
      </c>
      <c r="AE687" s="634">
        <f t="shared" ca="1" si="1395"/>
        <v>1</v>
      </c>
      <c r="AF687" s="634">
        <f t="shared" ca="1" si="1395"/>
        <v>1</v>
      </c>
      <c r="AG687" s="634">
        <f t="shared" ca="1" si="1395"/>
        <v>1</v>
      </c>
      <c r="AH687" s="634">
        <f t="shared" ca="1" si="1395"/>
        <v>1</v>
      </c>
      <c r="AI687" s="634">
        <f ca="1" t="shared" si="1396" ref="AI687:BJ687">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AJ687" s="634">
        <f t="shared" ca="1" si="1396"/>
        <v>1</v>
      </c>
      <c r="AK687" s="634">
        <f t="shared" ca="1" si="1396"/>
        <v>1</v>
      </c>
      <c r="AL687" s="634">
        <f t="shared" ca="1" si="1396"/>
        <v>1</v>
      </c>
      <c r="AM687" s="634">
        <f t="shared" ca="1" si="1396"/>
        <v>1</v>
      </c>
      <c r="AN687" s="634">
        <f t="shared" ca="1" si="1396"/>
        <v>1</v>
      </c>
      <c r="AO687" s="634">
        <f t="shared" ca="1" si="1396"/>
        <v>1</v>
      </c>
      <c r="AP687" s="634">
        <f t="shared" ca="1" si="1396"/>
        <v>1</v>
      </c>
      <c r="AQ687" s="634">
        <f t="shared" ca="1" si="1396"/>
        <v>1</v>
      </c>
      <c r="AR687" s="634">
        <f t="shared" ca="1" si="1396"/>
        <v>1</v>
      </c>
      <c r="AS687" s="634">
        <f t="shared" ca="1" si="1396"/>
        <v>1</v>
      </c>
      <c r="AT687" s="634">
        <f t="shared" ca="1" si="1396"/>
        <v>1</v>
      </c>
      <c r="AU687" s="634">
        <f t="shared" ca="1" si="1396"/>
        <v>1</v>
      </c>
      <c r="AV687" s="634">
        <f t="shared" ca="1" si="1396"/>
        <v>1</v>
      </c>
      <c r="AW687" s="634">
        <f t="shared" ca="1" si="1396"/>
        <v>1</v>
      </c>
      <c r="AX687" s="634">
        <f t="shared" ca="1" si="1396"/>
        <v>1</v>
      </c>
      <c r="AY687" s="634">
        <f t="shared" ca="1" si="1396"/>
        <v>1</v>
      </c>
      <c r="AZ687" s="634">
        <f t="shared" ca="1" si="1396"/>
        <v>1</v>
      </c>
      <c r="BA687" s="634">
        <f ca="1" t="shared" si="1397" ref="BA687:BI687">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BB687" s="634">
        <f t="shared" ca="1" si="1397"/>
        <v>1</v>
      </c>
      <c r="BC687" s="634">
        <f t="shared" ca="1" si="1397"/>
        <v>1</v>
      </c>
      <c r="BD687" s="634">
        <f t="shared" ca="1" si="1397"/>
        <v>1</v>
      </c>
      <c r="BE687" s="634">
        <f t="shared" ca="1" si="1397"/>
        <v>1</v>
      </c>
      <c r="BF687" s="634">
        <f ca="1">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BG687" s="634">
        <f ca="1">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BH687" s="635">
        <f ca="1">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BI687" s="634">
        <f t="shared" ca="1" si="1397"/>
        <v>1</v>
      </c>
      <c r="BJ687" s="634">
        <f t="shared" ca="1" si="1396"/>
        <v>1</v>
      </c>
      <c r="BK687" s="634">
        <f ca="1" t="shared" si="1398" ref="BK687:BR687">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BL687" s="634">
        <f t="shared" ca="1" si="1398"/>
        <v>1</v>
      </c>
      <c r="BM687" s="634">
        <f t="shared" ca="1" si="1398"/>
        <v>1</v>
      </c>
      <c r="BN687" s="634">
        <f t="shared" ca="1" si="1398"/>
        <v>1</v>
      </c>
      <c r="BO687" s="634">
        <f t="shared" ca="1" si="1398"/>
        <v>1</v>
      </c>
      <c r="BP687" s="634">
        <f t="shared" ca="1" si="1398"/>
        <v>1</v>
      </c>
      <c r="BQ687" s="634">
        <f t="shared" ca="1" si="1398"/>
        <v>1</v>
      </c>
      <c r="BR687" s="636">
        <f t="shared" ca="1" si="1398"/>
        <v>1</v>
      </c>
      <c r="BS687" s="372"/>
    </row>
    <row r="688" spans="1:71" s="691" customFormat="1" ht="15" hidden="1" outlineLevel="1">
      <c r="A688" s="262" t="s">
        <v>395</v>
      </c>
      <c r="B688" s="435"/>
      <c r="C688" s="1100">
        <v>1</v>
      </c>
      <c r="D688" s="1100">
        <v>1</v>
      </c>
      <c r="E688" s="1101">
        <v>1</v>
      </c>
      <c r="F688" s="1101">
        <v>1</v>
      </c>
      <c r="G688" s="1101">
        <v>1</v>
      </c>
      <c r="H688" s="1101">
        <v>1</v>
      </c>
      <c r="I688" s="1101">
        <v>1</v>
      </c>
      <c r="J688" s="1101">
        <v>1</v>
      </c>
      <c r="K688" s="1101">
        <v>1</v>
      </c>
      <c r="L688" s="1101">
        <v>1</v>
      </c>
      <c r="M688" s="1101">
        <v>1</v>
      </c>
      <c r="N688" s="1101">
        <v>1</v>
      </c>
      <c r="O688" s="1101">
        <v>1</v>
      </c>
      <c r="P688" s="1101">
        <v>1</v>
      </c>
      <c r="Q688" s="1101">
        <v>1</v>
      </c>
      <c r="R688" s="1101">
        <v>1</v>
      </c>
      <c r="S688" s="1101">
        <v>1</v>
      </c>
      <c r="T688" s="1101">
        <v>1</v>
      </c>
      <c r="U688" s="1101">
        <v>1</v>
      </c>
      <c r="V688" s="1101">
        <v>1</v>
      </c>
      <c r="W688" s="1101">
        <v>1</v>
      </c>
      <c r="X688" s="1101">
        <v>1</v>
      </c>
      <c r="Y688" s="1101">
        <v>1</v>
      </c>
      <c r="Z688" s="1101">
        <v>1</v>
      </c>
      <c r="AA688" s="1101">
        <v>1</v>
      </c>
      <c r="AB688" s="1101">
        <v>1</v>
      </c>
      <c r="AC688" s="1101">
        <v>1</v>
      </c>
      <c r="AD688" s="1101">
        <v>1</v>
      </c>
      <c r="AE688" s="1101">
        <v>1</v>
      </c>
      <c r="AF688" s="1101">
        <v>1</v>
      </c>
      <c r="AG688" s="1101">
        <v>1</v>
      </c>
      <c r="AH688" s="1101">
        <v>1</v>
      </c>
      <c r="AI688" s="1101">
        <v>1</v>
      </c>
      <c r="AJ688" s="1101">
        <v>1</v>
      </c>
      <c r="AK688" s="1101">
        <v>1</v>
      </c>
      <c r="AL688" s="1101">
        <v>1</v>
      </c>
      <c r="AM688" s="1101">
        <v>1</v>
      </c>
      <c r="AN688" s="1101">
        <v>1</v>
      </c>
      <c r="AO688" s="1101">
        <v>1</v>
      </c>
      <c r="AP688" s="1101">
        <v>1</v>
      </c>
      <c r="AQ688" s="1101">
        <v>1</v>
      </c>
      <c r="AR688" s="1101">
        <v>1</v>
      </c>
      <c r="AS688" s="1101">
        <v>1</v>
      </c>
      <c r="AT688" s="1101">
        <v>1</v>
      </c>
      <c r="AU688" s="1101">
        <v>1</v>
      </c>
      <c r="AV688" s="1101">
        <v>1</v>
      </c>
      <c r="AW688" s="1101">
        <v>1</v>
      </c>
      <c r="AX688" s="1101">
        <v>1</v>
      </c>
      <c r="AY688" s="1101">
        <v>1</v>
      </c>
      <c r="AZ688" s="1101">
        <v>1</v>
      </c>
      <c r="BA688" s="1101">
        <v>1</v>
      </c>
      <c r="BB688" s="1101">
        <v>1</v>
      </c>
      <c r="BC688" s="1101">
        <v>1</v>
      </c>
      <c r="BD688" s="1101">
        <v>1</v>
      </c>
      <c r="BE688" s="1101">
        <v>1</v>
      </c>
      <c r="BF688" s="1101">
        <v>1</v>
      </c>
      <c r="BG688" s="1101">
        <v>1</v>
      </c>
      <c r="BH688" s="1102">
        <v>1</v>
      </c>
      <c r="BI688" s="435">
        <f t="shared" si="1399" ref="BI688:BR688">MO.MRFX.Hardcoded</f>
        <v>1</v>
      </c>
      <c r="BJ688" s="435">
        <f t="shared" si="1399"/>
        <v>1</v>
      </c>
      <c r="BK688" s="435">
        <f t="shared" si="1399"/>
        <v>1</v>
      </c>
      <c r="BL688" s="435">
        <f t="shared" si="1399"/>
        <v>1</v>
      </c>
      <c r="BM688" s="435">
        <f t="shared" si="1399"/>
        <v>1</v>
      </c>
      <c r="BN688" s="435">
        <f t="shared" si="1399"/>
        <v>1</v>
      </c>
      <c r="BO688" s="435">
        <f t="shared" si="1399"/>
        <v>1</v>
      </c>
      <c r="BP688" s="634">
        <f t="shared" si="1399"/>
        <v>1</v>
      </c>
      <c r="BQ688" s="634">
        <f t="shared" si="1399"/>
        <v>1</v>
      </c>
      <c r="BR688" s="636">
        <f t="shared" si="1399"/>
        <v>1</v>
      </c>
      <c r="BS688" s="372"/>
    </row>
    <row r="689" spans="1:71" s="691" customFormat="1" ht="15" hidden="1" outlineLevel="1">
      <c r="A689" s="262" t="s">
        <v>7</v>
      </c>
      <c r="B689" s="435"/>
      <c r="C689" s="633"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D689" s="633"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E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F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G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H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I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J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K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L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M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N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O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P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Q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R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S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T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U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V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W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X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Y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Z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A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B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C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D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E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F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G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H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I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J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K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L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M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N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O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P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Q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R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S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T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U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V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W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X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Y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Z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BA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BB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BC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BD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BE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BF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BG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BH689" s="635"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BI689" s="435"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BJ689" s="435"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BK689" s="435"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BL689" s="435"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BM689" s="435"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BN689" s="435"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BO689" s="435"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BP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BQ689" s="634"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BR689" s="63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BS689" s="372"/>
    </row>
    <row r="690" spans="1:71" s="691" customFormat="1" ht="15" hidden="1" outlineLevel="1">
      <c r="A690" s="262" t="s">
        <v>396</v>
      </c>
      <c r="B690" s="435"/>
      <c r="C690" s="633" t="str">
        <f ca="1">IFERROR(IF(INDEX(MO_Common_QEndDate,0,COLUMN())&gt;TODAY(),_xll.CIQ("$"&amp;HP.TradeCurrency&amp;MO.ReportCurrency,"IQ_LASTSALEPRICE"),_xll.CIQAVG("$"&amp;HP.TradeCurrency&amp;MO.ReportCurrency,"IQ_LASTSALEPRICE",INDEX(MO_SNA_FPStartDate,0,COLUMN()),INDEX(MO_Common_QEndDate,0,COLUMN()))),"N/A")</f>
        <v>N/A</v>
      </c>
      <c r="D690" s="633" t="str">
        <f ca="1">IFERROR(IF(INDEX(MO_Common_QEndDate,0,COLUMN())&gt;TODAY(),_xll.CIQ("$"&amp;HP.TradeCurrency&amp;MO.ReportCurrency,"IQ_LASTSALEPRICE"),_xll.CIQAVG("$"&amp;HP.TradeCurrency&amp;MO.ReportCurrency,"IQ_LASTSALEPRICE",INDEX(MO_SNA_FPStartDate,0,COLUMN()),INDEX(MO_Common_QEndDate,0,COLUMN()))),"N/A")</f>
        <v>N/A</v>
      </c>
      <c r="E690" s="634" t="str">
        <f ca="1">IFERROR(IF(INDEX(MO_Common_QEndDate,0,COLUMN())&gt;TODAY(),_xll.CIQ("$"&amp;HP.TradeCurrency&amp;MO.ReportCurrency,"IQ_LASTSALEPRICE"),_xll.CIQAVG("$"&amp;HP.TradeCurrency&amp;MO.ReportCurrency,"IQ_LASTSALEPRICE",INDEX(MO_SNA_FPStartDate,0,COLUMN()),INDEX(MO_Common_QEndDate,0,COLUMN()))),"N/A")</f>
        <v>N/A</v>
      </c>
      <c r="F690" s="634" t="str">
        <f ca="1">IFERROR(IF(INDEX(MO_Common_QEndDate,0,COLUMN())&gt;TODAY(),_xll.CIQ("$"&amp;HP.TradeCurrency&amp;MO.ReportCurrency,"IQ_LASTSALEPRICE"),_xll.CIQAVG("$"&amp;HP.TradeCurrency&amp;MO.ReportCurrency,"IQ_LASTSALEPRICE",INDEX(MO_SNA_FPStartDate,0,COLUMN()),INDEX(MO_Common_QEndDate,0,COLUMN()))),"N/A")</f>
        <v>N/A</v>
      </c>
      <c r="G690" s="634" t="str">
        <f ca="1">IFERROR(IF(INDEX(MO_Common_QEndDate,0,COLUMN())&gt;TODAY(),_xll.CIQ("$"&amp;HP.TradeCurrency&amp;MO.ReportCurrency,"IQ_LASTSALEPRICE"),_xll.CIQAVG("$"&amp;HP.TradeCurrency&amp;MO.ReportCurrency,"IQ_LASTSALEPRICE",INDEX(MO_SNA_FPStartDate,0,COLUMN()),INDEX(MO_Common_QEndDate,0,COLUMN()))),"N/A")</f>
        <v>N/A</v>
      </c>
      <c r="H690" s="634" t="str">
        <f ca="1">IFERROR(IF(INDEX(MO_Common_QEndDate,0,COLUMN())&gt;TODAY(),_xll.CIQ("$"&amp;HP.TradeCurrency&amp;MO.ReportCurrency,"IQ_LASTSALEPRICE"),_xll.CIQAVG("$"&amp;HP.TradeCurrency&amp;MO.ReportCurrency,"IQ_LASTSALEPRICE",INDEX(MO_SNA_FPStartDate,0,COLUMN()),INDEX(MO_Common_QEndDate,0,COLUMN()))),"N/A")</f>
        <v>N/A</v>
      </c>
      <c r="I690" s="634" t="str">
        <f ca="1">IFERROR(IF(INDEX(MO_Common_QEndDate,0,COLUMN())&gt;TODAY(),_xll.CIQ("$"&amp;HP.TradeCurrency&amp;MO.ReportCurrency,"IQ_LASTSALEPRICE"),_xll.CIQAVG("$"&amp;HP.TradeCurrency&amp;MO.ReportCurrency,"IQ_LASTSALEPRICE",INDEX(MO_SNA_FPStartDate,0,COLUMN()),INDEX(MO_Common_QEndDate,0,COLUMN()))),"N/A")</f>
        <v>N/A</v>
      </c>
      <c r="J690" s="634" t="str">
        <f ca="1">IFERROR(IF(INDEX(MO_Common_QEndDate,0,COLUMN())&gt;TODAY(),_xll.CIQ("$"&amp;HP.TradeCurrency&amp;MO.ReportCurrency,"IQ_LASTSALEPRICE"),_xll.CIQAVG("$"&amp;HP.TradeCurrency&amp;MO.ReportCurrency,"IQ_LASTSALEPRICE",INDEX(MO_SNA_FPStartDate,0,COLUMN()),INDEX(MO_Common_QEndDate,0,COLUMN()))),"N/A")</f>
        <v>N/A</v>
      </c>
      <c r="K690" s="634" t="str">
        <f ca="1">IFERROR(IF(INDEX(MO_Common_QEndDate,0,COLUMN())&gt;TODAY(),_xll.CIQ("$"&amp;HP.TradeCurrency&amp;MO.ReportCurrency,"IQ_LASTSALEPRICE"),_xll.CIQAVG("$"&amp;HP.TradeCurrency&amp;MO.ReportCurrency,"IQ_LASTSALEPRICE",INDEX(MO_SNA_FPStartDate,0,COLUMN()),INDEX(MO_Common_QEndDate,0,COLUMN()))),"N/A")</f>
        <v>N/A</v>
      </c>
      <c r="L690" s="634" t="str">
        <f ca="1">IFERROR(IF(INDEX(MO_Common_QEndDate,0,COLUMN())&gt;TODAY(),_xll.CIQ("$"&amp;HP.TradeCurrency&amp;MO.ReportCurrency,"IQ_LASTSALEPRICE"),_xll.CIQAVG("$"&amp;HP.TradeCurrency&amp;MO.ReportCurrency,"IQ_LASTSALEPRICE",INDEX(MO_SNA_FPStartDate,0,COLUMN()),INDEX(MO_Common_QEndDate,0,COLUMN()))),"N/A")</f>
        <v>N/A</v>
      </c>
      <c r="M690" s="634" t="str">
        <f ca="1">IFERROR(IF(INDEX(MO_Common_QEndDate,0,COLUMN())&gt;TODAY(),_xll.CIQ("$"&amp;HP.TradeCurrency&amp;MO.ReportCurrency,"IQ_LASTSALEPRICE"),_xll.CIQAVG("$"&amp;HP.TradeCurrency&amp;MO.ReportCurrency,"IQ_LASTSALEPRICE",INDEX(MO_SNA_FPStartDate,0,COLUMN()),INDEX(MO_Common_QEndDate,0,COLUMN()))),"N/A")</f>
        <v>N/A</v>
      </c>
      <c r="N690" s="634" t="str">
        <f ca="1">IFERROR(IF(INDEX(MO_Common_QEndDate,0,COLUMN())&gt;TODAY(),_xll.CIQ("$"&amp;HP.TradeCurrency&amp;MO.ReportCurrency,"IQ_LASTSALEPRICE"),_xll.CIQAVG("$"&amp;HP.TradeCurrency&amp;MO.ReportCurrency,"IQ_LASTSALEPRICE",INDEX(MO_SNA_FPStartDate,0,COLUMN()),INDEX(MO_Common_QEndDate,0,COLUMN()))),"N/A")</f>
        <v>N/A</v>
      </c>
      <c r="O690" s="634" t="str">
        <f ca="1">IFERROR(IF(INDEX(MO_Common_QEndDate,0,COLUMN())&gt;TODAY(),_xll.CIQ("$"&amp;HP.TradeCurrency&amp;MO.ReportCurrency,"IQ_LASTSALEPRICE"),_xll.CIQAVG("$"&amp;HP.TradeCurrency&amp;MO.ReportCurrency,"IQ_LASTSALEPRICE",INDEX(MO_SNA_FPStartDate,0,COLUMN()),INDEX(MO_Common_QEndDate,0,COLUMN()))),"N/A")</f>
        <v>N/A</v>
      </c>
      <c r="P690" s="634" t="str">
        <f ca="1">IFERROR(IF(INDEX(MO_Common_QEndDate,0,COLUMN())&gt;TODAY(),_xll.CIQ("$"&amp;HP.TradeCurrency&amp;MO.ReportCurrency,"IQ_LASTSALEPRICE"),_xll.CIQAVG("$"&amp;HP.TradeCurrency&amp;MO.ReportCurrency,"IQ_LASTSALEPRICE",INDEX(MO_SNA_FPStartDate,0,COLUMN()),INDEX(MO_Common_QEndDate,0,COLUMN()))),"N/A")</f>
        <v>N/A</v>
      </c>
      <c r="Q690" s="634" t="str">
        <f ca="1">IFERROR(IF(INDEX(MO_Common_QEndDate,0,COLUMN())&gt;TODAY(),_xll.CIQ("$"&amp;HP.TradeCurrency&amp;MO.ReportCurrency,"IQ_LASTSALEPRICE"),_xll.CIQAVG("$"&amp;HP.TradeCurrency&amp;MO.ReportCurrency,"IQ_LASTSALEPRICE",INDEX(MO_SNA_FPStartDate,0,COLUMN()),INDEX(MO_Common_QEndDate,0,COLUMN()))),"N/A")</f>
        <v>N/A</v>
      </c>
      <c r="R690" s="634" t="str">
        <f ca="1">IFERROR(IF(INDEX(MO_Common_QEndDate,0,COLUMN())&gt;TODAY(),_xll.CIQ("$"&amp;HP.TradeCurrency&amp;MO.ReportCurrency,"IQ_LASTSALEPRICE"),_xll.CIQAVG("$"&amp;HP.TradeCurrency&amp;MO.ReportCurrency,"IQ_LASTSALEPRICE",INDEX(MO_SNA_FPStartDate,0,COLUMN()),INDEX(MO_Common_QEndDate,0,COLUMN()))),"N/A")</f>
        <v>N/A</v>
      </c>
      <c r="S690" s="634" t="str">
        <f ca="1">IFERROR(IF(INDEX(MO_Common_QEndDate,0,COLUMN())&gt;TODAY(),_xll.CIQ("$"&amp;HP.TradeCurrency&amp;MO.ReportCurrency,"IQ_LASTSALEPRICE"),_xll.CIQAVG("$"&amp;HP.TradeCurrency&amp;MO.ReportCurrency,"IQ_LASTSALEPRICE",INDEX(MO_SNA_FPStartDate,0,COLUMN()),INDEX(MO_Common_QEndDate,0,COLUMN()))),"N/A")</f>
        <v>N/A</v>
      </c>
      <c r="T690" s="634" t="str">
        <f ca="1">IFERROR(IF(INDEX(MO_Common_QEndDate,0,COLUMN())&gt;TODAY(),_xll.CIQ("$"&amp;HP.TradeCurrency&amp;MO.ReportCurrency,"IQ_LASTSALEPRICE"),_xll.CIQAVG("$"&amp;HP.TradeCurrency&amp;MO.ReportCurrency,"IQ_LASTSALEPRICE",INDEX(MO_SNA_FPStartDate,0,COLUMN()),INDEX(MO_Common_QEndDate,0,COLUMN()))),"N/A")</f>
        <v>N/A</v>
      </c>
      <c r="U690" s="634" t="str">
        <f ca="1">IFERROR(IF(INDEX(MO_Common_QEndDate,0,COLUMN())&gt;TODAY(),_xll.CIQ("$"&amp;HP.TradeCurrency&amp;MO.ReportCurrency,"IQ_LASTSALEPRICE"),_xll.CIQAVG("$"&amp;HP.TradeCurrency&amp;MO.ReportCurrency,"IQ_LASTSALEPRICE",INDEX(MO_SNA_FPStartDate,0,COLUMN()),INDEX(MO_Common_QEndDate,0,COLUMN()))),"N/A")</f>
        <v>N/A</v>
      </c>
      <c r="V690" s="634" t="str">
        <f ca="1">IFERROR(IF(INDEX(MO_Common_QEndDate,0,COLUMN())&gt;TODAY(),_xll.CIQ("$"&amp;HP.TradeCurrency&amp;MO.ReportCurrency,"IQ_LASTSALEPRICE"),_xll.CIQAVG("$"&amp;HP.TradeCurrency&amp;MO.ReportCurrency,"IQ_LASTSALEPRICE",INDEX(MO_SNA_FPStartDate,0,COLUMN()),INDEX(MO_Common_QEndDate,0,COLUMN()))),"N/A")</f>
        <v>N/A</v>
      </c>
      <c r="W690" s="634" t="str">
        <f ca="1">IFERROR(IF(INDEX(MO_Common_QEndDate,0,COLUMN())&gt;TODAY(),_xll.CIQ("$"&amp;HP.TradeCurrency&amp;MO.ReportCurrency,"IQ_LASTSALEPRICE"),_xll.CIQAVG("$"&amp;HP.TradeCurrency&amp;MO.ReportCurrency,"IQ_LASTSALEPRICE",INDEX(MO_SNA_FPStartDate,0,COLUMN()),INDEX(MO_Common_QEndDate,0,COLUMN()))),"N/A")</f>
        <v>N/A</v>
      </c>
      <c r="X690" s="634" t="str">
        <f ca="1">IFERROR(IF(INDEX(MO_Common_QEndDate,0,COLUMN())&gt;TODAY(),_xll.CIQ("$"&amp;HP.TradeCurrency&amp;MO.ReportCurrency,"IQ_LASTSALEPRICE"),_xll.CIQAVG("$"&amp;HP.TradeCurrency&amp;MO.ReportCurrency,"IQ_LASTSALEPRICE",INDEX(MO_SNA_FPStartDate,0,COLUMN()),INDEX(MO_Common_QEndDate,0,COLUMN()))),"N/A")</f>
        <v>N/A</v>
      </c>
      <c r="Y690" s="634" t="str">
        <f ca="1">IFERROR(IF(INDEX(MO_Common_QEndDate,0,COLUMN())&gt;TODAY(),_xll.CIQ("$"&amp;HP.TradeCurrency&amp;MO.ReportCurrency,"IQ_LASTSALEPRICE"),_xll.CIQAVG("$"&amp;HP.TradeCurrency&amp;MO.ReportCurrency,"IQ_LASTSALEPRICE",INDEX(MO_SNA_FPStartDate,0,COLUMN()),INDEX(MO_Common_QEndDate,0,COLUMN()))),"N/A")</f>
        <v>N/A</v>
      </c>
      <c r="Z690" s="634" t="str">
        <f ca="1">IFERROR(IF(INDEX(MO_Common_QEndDate,0,COLUMN())&gt;TODAY(),_xll.CIQ("$"&amp;HP.TradeCurrency&amp;MO.ReportCurrency,"IQ_LASTSALEPRICE"),_xll.CIQAVG("$"&amp;HP.TradeCurrency&amp;MO.ReportCurrency,"IQ_LASTSALEPRICE",INDEX(MO_SNA_FPStartDate,0,COLUMN()),INDEX(MO_Common_QEndDate,0,COLUMN()))),"N/A")</f>
        <v>N/A</v>
      </c>
      <c r="AA690" s="634" t="str">
        <f ca="1">IFERROR(IF(INDEX(MO_Common_QEndDate,0,COLUMN())&gt;TODAY(),_xll.CIQ("$"&amp;HP.TradeCurrency&amp;MO.ReportCurrency,"IQ_LASTSALEPRICE"),_xll.CIQAVG("$"&amp;HP.TradeCurrency&amp;MO.ReportCurrency,"IQ_LASTSALEPRICE",INDEX(MO_SNA_FPStartDate,0,COLUMN()),INDEX(MO_Common_QEndDate,0,COLUMN()))),"N/A")</f>
        <v>N/A</v>
      </c>
      <c r="AB690" s="634" t="str">
        <f ca="1">IFERROR(IF(INDEX(MO_Common_QEndDate,0,COLUMN())&gt;TODAY(),_xll.CIQ("$"&amp;HP.TradeCurrency&amp;MO.ReportCurrency,"IQ_LASTSALEPRICE"),_xll.CIQAVG("$"&amp;HP.TradeCurrency&amp;MO.ReportCurrency,"IQ_LASTSALEPRICE",INDEX(MO_SNA_FPStartDate,0,COLUMN()),INDEX(MO_Common_QEndDate,0,COLUMN()))),"N/A")</f>
        <v>N/A</v>
      </c>
      <c r="AC690" s="634" t="str">
        <f ca="1">IFERROR(IF(INDEX(MO_Common_QEndDate,0,COLUMN())&gt;TODAY(),_xll.CIQ("$"&amp;HP.TradeCurrency&amp;MO.ReportCurrency,"IQ_LASTSALEPRICE"),_xll.CIQAVG("$"&amp;HP.TradeCurrency&amp;MO.ReportCurrency,"IQ_LASTSALEPRICE",INDEX(MO_SNA_FPStartDate,0,COLUMN()),INDEX(MO_Common_QEndDate,0,COLUMN()))),"N/A")</f>
        <v>N/A</v>
      </c>
      <c r="AD690" s="634" t="str">
        <f ca="1">IFERROR(IF(INDEX(MO_Common_QEndDate,0,COLUMN())&gt;TODAY(),_xll.CIQ("$"&amp;HP.TradeCurrency&amp;MO.ReportCurrency,"IQ_LASTSALEPRICE"),_xll.CIQAVG("$"&amp;HP.TradeCurrency&amp;MO.ReportCurrency,"IQ_LASTSALEPRICE",INDEX(MO_SNA_FPStartDate,0,COLUMN()),INDEX(MO_Common_QEndDate,0,COLUMN()))),"N/A")</f>
        <v>N/A</v>
      </c>
      <c r="AE690" s="634" t="str">
        <f ca="1">IFERROR(IF(INDEX(MO_Common_QEndDate,0,COLUMN())&gt;TODAY(),_xll.CIQ("$"&amp;HP.TradeCurrency&amp;MO.ReportCurrency,"IQ_LASTSALEPRICE"),_xll.CIQAVG("$"&amp;HP.TradeCurrency&amp;MO.ReportCurrency,"IQ_LASTSALEPRICE",INDEX(MO_SNA_FPStartDate,0,COLUMN()),INDEX(MO_Common_QEndDate,0,COLUMN()))),"N/A")</f>
        <v>N/A</v>
      </c>
      <c r="AF690" s="634" t="str">
        <f ca="1">IFERROR(IF(INDEX(MO_Common_QEndDate,0,COLUMN())&gt;TODAY(),_xll.CIQ("$"&amp;HP.TradeCurrency&amp;MO.ReportCurrency,"IQ_LASTSALEPRICE"),_xll.CIQAVG("$"&amp;HP.TradeCurrency&amp;MO.ReportCurrency,"IQ_LASTSALEPRICE",INDEX(MO_SNA_FPStartDate,0,COLUMN()),INDEX(MO_Common_QEndDate,0,COLUMN()))),"N/A")</f>
        <v>N/A</v>
      </c>
      <c r="AG690" s="634" t="str">
        <f ca="1">IFERROR(IF(INDEX(MO_Common_QEndDate,0,COLUMN())&gt;TODAY(),_xll.CIQ("$"&amp;HP.TradeCurrency&amp;MO.ReportCurrency,"IQ_LASTSALEPRICE"),_xll.CIQAVG("$"&amp;HP.TradeCurrency&amp;MO.ReportCurrency,"IQ_LASTSALEPRICE",INDEX(MO_SNA_FPStartDate,0,COLUMN()),INDEX(MO_Common_QEndDate,0,COLUMN()))),"N/A")</f>
        <v>N/A</v>
      </c>
      <c r="AH690" s="634" t="str">
        <f ca="1">IFERROR(IF(INDEX(MO_Common_QEndDate,0,COLUMN())&gt;TODAY(),_xll.CIQ("$"&amp;HP.TradeCurrency&amp;MO.ReportCurrency,"IQ_LASTSALEPRICE"),_xll.CIQAVG("$"&amp;HP.TradeCurrency&amp;MO.ReportCurrency,"IQ_LASTSALEPRICE",INDEX(MO_SNA_FPStartDate,0,COLUMN()),INDEX(MO_Common_QEndDate,0,COLUMN()))),"N/A")</f>
        <v>N/A</v>
      </c>
      <c r="AI690" s="634" t="str">
        <f ca="1">IFERROR(IF(INDEX(MO_Common_QEndDate,0,COLUMN())&gt;TODAY(),_xll.CIQ("$"&amp;HP.TradeCurrency&amp;MO.ReportCurrency,"IQ_LASTSALEPRICE"),_xll.CIQAVG("$"&amp;HP.TradeCurrency&amp;MO.ReportCurrency,"IQ_LASTSALEPRICE",INDEX(MO_SNA_FPStartDate,0,COLUMN()),INDEX(MO_Common_QEndDate,0,COLUMN()))),"N/A")</f>
        <v>N/A</v>
      </c>
      <c r="AJ690" s="634" t="str">
        <f ca="1">IFERROR(IF(INDEX(MO_Common_QEndDate,0,COLUMN())&gt;TODAY(),_xll.CIQ("$"&amp;HP.TradeCurrency&amp;MO.ReportCurrency,"IQ_LASTSALEPRICE"),_xll.CIQAVG("$"&amp;HP.TradeCurrency&amp;MO.ReportCurrency,"IQ_LASTSALEPRICE",INDEX(MO_SNA_FPStartDate,0,COLUMN()),INDEX(MO_Common_QEndDate,0,COLUMN()))),"N/A")</f>
        <v>N/A</v>
      </c>
      <c r="AK690" s="634" t="str">
        <f ca="1">IFERROR(IF(INDEX(MO_Common_QEndDate,0,COLUMN())&gt;TODAY(),_xll.CIQ("$"&amp;HP.TradeCurrency&amp;MO.ReportCurrency,"IQ_LASTSALEPRICE"),_xll.CIQAVG("$"&amp;HP.TradeCurrency&amp;MO.ReportCurrency,"IQ_LASTSALEPRICE",INDEX(MO_SNA_FPStartDate,0,COLUMN()),INDEX(MO_Common_QEndDate,0,COLUMN()))),"N/A")</f>
        <v>N/A</v>
      </c>
      <c r="AL690" s="634" t="str">
        <f ca="1">IFERROR(IF(INDEX(MO_Common_QEndDate,0,COLUMN())&gt;TODAY(),_xll.CIQ("$"&amp;HP.TradeCurrency&amp;MO.ReportCurrency,"IQ_LASTSALEPRICE"),_xll.CIQAVG("$"&amp;HP.TradeCurrency&amp;MO.ReportCurrency,"IQ_LASTSALEPRICE",INDEX(MO_SNA_FPStartDate,0,COLUMN()),INDEX(MO_Common_QEndDate,0,COLUMN()))),"N/A")</f>
        <v>N/A</v>
      </c>
      <c r="AM690" s="634" t="str">
        <f ca="1">IFERROR(IF(INDEX(MO_Common_QEndDate,0,COLUMN())&gt;TODAY(),_xll.CIQ("$"&amp;HP.TradeCurrency&amp;MO.ReportCurrency,"IQ_LASTSALEPRICE"),_xll.CIQAVG("$"&amp;HP.TradeCurrency&amp;MO.ReportCurrency,"IQ_LASTSALEPRICE",INDEX(MO_SNA_FPStartDate,0,COLUMN()),INDEX(MO_Common_QEndDate,0,COLUMN()))),"N/A")</f>
        <v>N/A</v>
      </c>
      <c r="AN690" s="634" t="str">
        <f ca="1">IFERROR(IF(INDEX(MO_Common_QEndDate,0,COLUMN())&gt;TODAY(),_xll.CIQ("$"&amp;HP.TradeCurrency&amp;MO.ReportCurrency,"IQ_LASTSALEPRICE"),_xll.CIQAVG("$"&amp;HP.TradeCurrency&amp;MO.ReportCurrency,"IQ_LASTSALEPRICE",INDEX(MO_SNA_FPStartDate,0,COLUMN()),INDEX(MO_Common_QEndDate,0,COLUMN()))),"N/A")</f>
        <v>N/A</v>
      </c>
      <c r="AO690" s="634" t="str">
        <f ca="1">IFERROR(IF(INDEX(MO_Common_QEndDate,0,COLUMN())&gt;TODAY(),_xll.CIQ("$"&amp;HP.TradeCurrency&amp;MO.ReportCurrency,"IQ_LASTSALEPRICE"),_xll.CIQAVG("$"&amp;HP.TradeCurrency&amp;MO.ReportCurrency,"IQ_LASTSALEPRICE",INDEX(MO_SNA_FPStartDate,0,COLUMN()),INDEX(MO_Common_QEndDate,0,COLUMN()))),"N/A")</f>
        <v>N/A</v>
      </c>
      <c r="AP690" s="634" t="str">
        <f ca="1">IFERROR(IF(INDEX(MO_Common_QEndDate,0,COLUMN())&gt;TODAY(),_xll.CIQ("$"&amp;HP.TradeCurrency&amp;MO.ReportCurrency,"IQ_LASTSALEPRICE"),_xll.CIQAVG("$"&amp;HP.TradeCurrency&amp;MO.ReportCurrency,"IQ_LASTSALEPRICE",INDEX(MO_SNA_FPStartDate,0,COLUMN()),INDEX(MO_Common_QEndDate,0,COLUMN()))),"N/A")</f>
        <v>N/A</v>
      </c>
      <c r="AQ690" s="634" t="str">
        <f ca="1">IFERROR(IF(INDEX(MO_Common_QEndDate,0,COLUMN())&gt;TODAY(),_xll.CIQ("$"&amp;HP.TradeCurrency&amp;MO.ReportCurrency,"IQ_LASTSALEPRICE"),_xll.CIQAVG("$"&amp;HP.TradeCurrency&amp;MO.ReportCurrency,"IQ_LASTSALEPRICE",INDEX(MO_SNA_FPStartDate,0,COLUMN()),INDEX(MO_Common_QEndDate,0,COLUMN()))),"N/A")</f>
        <v>N/A</v>
      </c>
      <c r="AR690" s="634" t="str">
        <f ca="1">IFERROR(IF(INDEX(MO_Common_QEndDate,0,COLUMN())&gt;TODAY(),_xll.CIQ("$"&amp;HP.TradeCurrency&amp;MO.ReportCurrency,"IQ_LASTSALEPRICE"),_xll.CIQAVG("$"&amp;HP.TradeCurrency&amp;MO.ReportCurrency,"IQ_LASTSALEPRICE",INDEX(MO_SNA_FPStartDate,0,COLUMN()),INDEX(MO_Common_QEndDate,0,COLUMN()))),"N/A")</f>
        <v>N/A</v>
      </c>
      <c r="AS690" s="634" t="str">
        <f ca="1">IFERROR(IF(INDEX(MO_Common_QEndDate,0,COLUMN())&gt;TODAY(),_xll.CIQ("$"&amp;HP.TradeCurrency&amp;MO.ReportCurrency,"IQ_LASTSALEPRICE"),_xll.CIQAVG("$"&amp;HP.TradeCurrency&amp;MO.ReportCurrency,"IQ_LASTSALEPRICE",INDEX(MO_SNA_FPStartDate,0,COLUMN()),INDEX(MO_Common_QEndDate,0,COLUMN()))),"N/A")</f>
        <v>N/A</v>
      </c>
      <c r="AT690" s="634" t="str">
        <f ca="1">IFERROR(IF(INDEX(MO_Common_QEndDate,0,COLUMN())&gt;TODAY(),_xll.CIQ("$"&amp;HP.TradeCurrency&amp;MO.ReportCurrency,"IQ_LASTSALEPRICE"),_xll.CIQAVG("$"&amp;HP.TradeCurrency&amp;MO.ReportCurrency,"IQ_LASTSALEPRICE",INDEX(MO_SNA_FPStartDate,0,COLUMN()),INDEX(MO_Common_QEndDate,0,COLUMN()))),"N/A")</f>
        <v>N/A</v>
      </c>
      <c r="AU690" s="634" t="str">
        <f ca="1">IFERROR(IF(INDEX(MO_Common_QEndDate,0,COLUMN())&gt;TODAY(),_xll.CIQ("$"&amp;HP.TradeCurrency&amp;MO.ReportCurrency,"IQ_LASTSALEPRICE"),_xll.CIQAVG("$"&amp;HP.TradeCurrency&amp;MO.ReportCurrency,"IQ_LASTSALEPRICE",INDEX(MO_SNA_FPStartDate,0,COLUMN()),INDEX(MO_Common_QEndDate,0,COLUMN()))),"N/A")</f>
        <v>N/A</v>
      </c>
      <c r="AV690" s="634" t="str">
        <f ca="1">IFERROR(IF(INDEX(MO_Common_QEndDate,0,COLUMN())&gt;TODAY(),_xll.CIQ("$"&amp;HP.TradeCurrency&amp;MO.ReportCurrency,"IQ_LASTSALEPRICE"),_xll.CIQAVG("$"&amp;HP.TradeCurrency&amp;MO.ReportCurrency,"IQ_LASTSALEPRICE",INDEX(MO_SNA_FPStartDate,0,COLUMN()),INDEX(MO_Common_QEndDate,0,COLUMN()))),"N/A")</f>
        <v>N/A</v>
      </c>
      <c r="AW690" s="634" t="str">
        <f ca="1">IFERROR(IF(INDEX(MO_Common_QEndDate,0,COLUMN())&gt;TODAY(),_xll.CIQ("$"&amp;HP.TradeCurrency&amp;MO.ReportCurrency,"IQ_LASTSALEPRICE"),_xll.CIQAVG("$"&amp;HP.TradeCurrency&amp;MO.ReportCurrency,"IQ_LASTSALEPRICE",INDEX(MO_SNA_FPStartDate,0,COLUMN()),INDEX(MO_Common_QEndDate,0,COLUMN()))),"N/A")</f>
        <v>N/A</v>
      </c>
      <c r="AX690" s="634" t="str">
        <f ca="1">IFERROR(IF(INDEX(MO_Common_QEndDate,0,COLUMN())&gt;TODAY(),_xll.CIQ("$"&amp;HP.TradeCurrency&amp;MO.ReportCurrency,"IQ_LASTSALEPRICE"),_xll.CIQAVG("$"&amp;HP.TradeCurrency&amp;MO.ReportCurrency,"IQ_LASTSALEPRICE",INDEX(MO_SNA_FPStartDate,0,COLUMN()),INDEX(MO_Common_QEndDate,0,COLUMN()))),"N/A")</f>
        <v>N/A</v>
      </c>
      <c r="AY690" s="634" t="str">
        <f ca="1">IFERROR(IF(INDEX(MO_Common_QEndDate,0,COLUMN())&gt;TODAY(),_xll.CIQ("$"&amp;HP.TradeCurrency&amp;MO.ReportCurrency,"IQ_LASTSALEPRICE"),_xll.CIQAVG("$"&amp;HP.TradeCurrency&amp;MO.ReportCurrency,"IQ_LASTSALEPRICE",INDEX(MO_SNA_FPStartDate,0,COLUMN()),INDEX(MO_Common_QEndDate,0,COLUMN()))),"N/A")</f>
        <v>N/A</v>
      </c>
      <c r="AZ690" s="634" t="str">
        <f ca="1">IFERROR(IF(INDEX(MO_Common_QEndDate,0,COLUMN())&gt;TODAY(),_xll.CIQ("$"&amp;HP.TradeCurrency&amp;MO.ReportCurrency,"IQ_LASTSALEPRICE"),_xll.CIQAVG("$"&amp;HP.TradeCurrency&amp;MO.ReportCurrency,"IQ_LASTSALEPRICE",INDEX(MO_SNA_FPStartDate,0,COLUMN()),INDEX(MO_Common_QEndDate,0,COLUMN()))),"N/A")</f>
        <v>N/A</v>
      </c>
      <c r="BA690" s="634" t="str">
        <f ca="1">IFERROR(IF(INDEX(MO_Common_QEndDate,0,COLUMN())&gt;TODAY(),_xll.CIQ("$"&amp;HP.TradeCurrency&amp;MO.ReportCurrency,"IQ_LASTSALEPRICE"),_xll.CIQAVG("$"&amp;HP.TradeCurrency&amp;MO.ReportCurrency,"IQ_LASTSALEPRICE",INDEX(MO_SNA_FPStartDate,0,COLUMN()),INDEX(MO_Common_QEndDate,0,COLUMN()))),"N/A")</f>
        <v>N/A</v>
      </c>
      <c r="BB690" s="634" t="str">
        <f ca="1">IFERROR(IF(INDEX(MO_Common_QEndDate,0,COLUMN())&gt;TODAY(),_xll.CIQ("$"&amp;HP.TradeCurrency&amp;MO.ReportCurrency,"IQ_LASTSALEPRICE"),_xll.CIQAVG("$"&amp;HP.TradeCurrency&amp;MO.ReportCurrency,"IQ_LASTSALEPRICE",INDEX(MO_SNA_FPStartDate,0,COLUMN()),INDEX(MO_Common_QEndDate,0,COLUMN()))),"N/A")</f>
        <v>N/A</v>
      </c>
      <c r="BC690" s="634" t="str">
        <f ca="1">IFERROR(IF(INDEX(MO_Common_QEndDate,0,COLUMN())&gt;TODAY(),_xll.CIQ("$"&amp;HP.TradeCurrency&amp;MO.ReportCurrency,"IQ_LASTSALEPRICE"),_xll.CIQAVG("$"&amp;HP.TradeCurrency&amp;MO.ReportCurrency,"IQ_LASTSALEPRICE",INDEX(MO_SNA_FPStartDate,0,COLUMN()),INDEX(MO_Common_QEndDate,0,COLUMN()))),"N/A")</f>
        <v>N/A</v>
      </c>
      <c r="BD690" s="634" t="str">
        <f ca="1">IFERROR(IF(INDEX(MO_Common_QEndDate,0,COLUMN())&gt;TODAY(),_xll.CIQ("$"&amp;HP.TradeCurrency&amp;MO.ReportCurrency,"IQ_LASTSALEPRICE"),_xll.CIQAVG("$"&amp;HP.TradeCurrency&amp;MO.ReportCurrency,"IQ_LASTSALEPRICE",INDEX(MO_SNA_FPStartDate,0,COLUMN()),INDEX(MO_Common_QEndDate,0,COLUMN()))),"N/A")</f>
        <v>N/A</v>
      </c>
      <c r="BE690" s="634" t="str">
        <f ca="1">IFERROR(IF(INDEX(MO_Common_QEndDate,0,COLUMN())&gt;TODAY(),_xll.CIQ("$"&amp;HP.TradeCurrency&amp;MO.ReportCurrency,"IQ_LASTSALEPRICE"),_xll.CIQAVG("$"&amp;HP.TradeCurrency&amp;MO.ReportCurrency,"IQ_LASTSALEPRICE",INDEX(MO_SNA_FPStartDate,0,COLUMN()),INDEX(MO_Common_QEndDate,0,COLUMN()))),"N/A")</f>
        <v>N/A</v>
      </c>
      <c r="BF690" s="634" t="str">
        <f ca="1">IFERROR(IF(INDEX(MO_Common_QEndDate,0,COLUMN())&gt;TODAY(),_xll.CIQ("$"&amp;HP.TradeCurrency&amp;MO.ReportCurrency,"IQ_LASTSALEPRICE"),_xll.CIQAVG("$"&amp;HP.TradeCurrency&amp;MO.ReportCurrency,"IQ_LASTSALEPRICE",INDEX(MO_SNA_FPStartDate,0,COLUMN()),INDEX(MO_Common_QEndDate,0,COLUMN()))),"N/A")</f>
        <v>N/A</v>
      </c>
      <c r="BG690" s="634" t="str">
        <f ca="1">IFERROR(IF(INDEX(MO_Common_QEndDate,0,COLUMN())&gt;TODAY(),_xll.CIQ("$"&amp;HP.TradeCurrency&amp;MO.ReportCurrency,"IQ_LASTSALEPRICE"),_xll.CIQAVG("$"&amp;HP.TradeCurrency&amp;MO.ReportCurrency,"IQ_LASTSALEPRICE",INDEX(MO_SNA_FPStartDate,0,COLUMN()),INDEX(MO_Common_QEndDate,0,COLUMN()))),"N/A")</f>
        <v>N/A</v>
      </c>
      <c r="BH690" s="635" t="str">
        <f ca="1">IFERROR(IF(INDEX(MO_Common_QEndDate,0,COLUMN())&gt;TODAY(),_xll.CIQ("$"&amp;HP.TradeCurrency&amp;MO.ReportCurrency,"IQ_LASTSALEPRICE"),_xll.CIQAVG("$"&amp;HP.TradeCurrency&amp;MO.ReportCurrency,"IQ_LASTSALEPRICE",INDEX(MO_SNA_FPStartDate,0,COLUMN()),INDEX(MO_Common_QEndDate,0,COLUMN()))),"N/A")</f>
        <v>N/A</v>
      </c>
      <c r="BI690" s="435" t="str">
        <f ca="1">IFERROR(IF(INDEX(MO_Common_QEndDate,0,COLUMN())&gt;TODAY(),_xll.CIQ("$"&amp;HP.TradeCurrency&amp;MO.ReportCurrency,"IQ_LASTSALEPRICE"),_xll.CIQAVG("$"&amp;HP.TradeCurrency&amp;MO.ReportCurrency,"IQ_LASTSALEPRICE",INDEX(MO_SNA_FPStartDate,0,COLUMN()),INDEX(MO_Common_QEndDate,0,COLUMN()))),"N/A")</f>
        <v>N/A</v>
      </c>
      <c r="BJ690" s="435" t="str">
        <f ca="1">IFERROR(IF(INDEX(MO_Common_QEndDate,0,COLUMN())&gt;TODAY(),_xll.CIQ("$"&amp;HP.TradeCurrency&amp;MO.ReportCurrency,"IQ_LASTSALEPRICE"),_xll.CIQAVG("$"&amp;HP.TradeCurrency&amp;MO.ReportCurrency,"IQ_LASTSALEPRICE",INDEX(MO_SNA_FPStartDate,0,COLUMN()),INDEX(MO_Common_QEndDate,0,COLUMN()))),"N/A")</f>
        <v>N/A</v>
      </c>
      <c r="BK690" s="435" t="str">
        <f ca="1">IFERROR(IF(INDEX(MO_Common_QEndDate,0,COLUMN())&gt;TODAY(),_xll.CIQ("$"&amp;HP.TradeCurrency&amp;MO.ReportCurrency,"IQ_LASTSALEPRICE"),_xll.CIQAVG("$"&amp;HP.TradeCurrency&amp;MO.ReportCurrency,"IQ_LASTSALEPRICE",INDEX(MO_SNA_FPStartDate,0,COLUMN()),INDEX(MO_Common_QEndDate,0,COLUMN()))),"N/A")</f>
        <v>N/A</v>
      </c>
      <c r="BL690" s="435" t="str">
        <f ca="1">IFERROR(IF(INDEX(MO_Common_QEndDate,0,COLUMN())&gt;TODAY(),_xll.CIQ("$"&amp;HP.TradeCurrency&amp;MO.ReportCurrency,"IQ_LASTSALEPRICE"),_xll.CIQAVG("$"&amp;HP.TradeCurrency&amp;MO.ReportCurrency,"IQ_LASTSALEPRICE",INDEX(MO_SNA_FPStartDate,0,COLUMN()),INDEX(MO_Common_QEndDate,0,COLUMN()))),"N/A")</f>
        <v>N/A</v>
      </c>
      <c r="BM690" s="435" t="str">
        <f ca="1">IFERROR(IF(INDEX(MO_Common_QEndDate,0,COLUMN())&gt;TODAY(),_xll.CIQ("$"&amp;HP.TradeCurrency&amp;MO.ReportCurrency,"IQ_LASTSALEPRICE"),_xll.CIQAVG("$"&amp;HP.TradeCurrency&amp;MO.ReportCurrency,"IQ_LASTSALEPRICE",INDEX(MO_SNA_FPStartDate,0,COLUMN()),INDEX(MO_Common_QEndDate,0,COLUMN()))),"N/A")</f>
        <v>N/A</v>
      </c>
      <c r="BN690" s="435" t="str">
        <f ca="1">IFERROR(IF(INDEX(MO_Common_QEndDate,0,COLUMN())&gt;TODAY(),_xll.CIQ("$"&amp;HP.TradeCurrency&amp;MO.ReportCurrency,"IQ_LASTSALEPRICE"),_xll.CIQAVG("$"&amp;HP.TradeCurrency&amp;MO.ReportCurrency,"IQ_LASTSALEPRICE",INDEX(MO_SNA_FPStartDate,0,COLUMN()),INDEX(MO_Common_QEndDate,0,COLUMN()))),"N/A")</f>
        <v>N/A</v>
      </c>
      <c r="BO690" s="435" t="str">
        <f ca="1">IFERROR(IF(INDEX(MO_Common_QEndDate,0,COLUMN())&gt;TODAY(),_xll.CIQ("$"&amp;HP.TradeCurrency&amp;MO.ReportCurrency,"IQ_LASTSALEPRICE"),_xll.CIQAVG("$"&amp;HP.TradeCurrency&amp;MO.ReportCurrency,"IQ_LASTSALEPRICE",INDEX(MO_SNA_FPStartDate,0,COLUMN()),INDEX(MO_Common_QEndDate,0,COLUMN()))),"N/A")</f>
        <v>N/A</v>
      </c>
      <c r="BP690" s="634" t="str">
        <f ca="1">IFERROR(IF(INDEX(MO_Common_QEndDate,0,COLUMN())&gt;TODAY(),_xll.CIQ("$"&amp;HP.TradeCurrency&amp;MO.ReportCurrency,"IQ_LASTSALEPRICE"),_xll.CIQAVG("$"&amp;HP.TradeCurrency&amp;MO.ReportCurrency,"IQ_LASTSALEPRICE",INDEX(MO_SNA_FPStartDate,0,COLUMN()),INDEX(MO_Common_QEndDate,0,COLUMN()))),"N/A")</f>
        <v>N/A</v>
      </c>
      <c r="BQ690" s="634" t="str">
        <f ca="1">IFERROR(IF(INDEX(MO_Common_QEndDate,0,COLUMN())&gt;TODAY(),_xll.CIQ("$"&amp;HP.TradeCurrency&amp;MO.ReportCurrency,"IQ_LASTSALEPRICE"),_xll.CIQAVG("$"&amp;HP.TradeCurrency&amp;MO.ReportCurrency,"IQ_LASTSALEPRICE",INDEX(MO_SNA_FPStartDate,0,COLUMN()),INDEX(MO_Common_QEndDate,0,COLUMN()))),"N/A")</f>
        <v>N/A</v>
      </c>
      <c r="BR690" s="636" t="str">
        <f ca="1">IFERROR(IF(INDEX(MO_Common_QEndDate,0,COLUMN())&gt;TODAY(),_xll.CIQ("$"&amp;HP.TradeCurrency&amp;MO.ReportCurrency,"IQ_LASTSALEPRICE"),_xll.CIQAVG("$"&amp;HP.TradeCurrency&amp;MO.ReportCurrency,"IQ_LASTSALEPRICE",INDEX(MO_SNA_FPStartDate,0,COLUMN()),INDEX(MO_Common_QEndDate,0,COLUMN()))),"N/A")</f>
        <v>N/A</v>
      </c>
      <c r="BS690" s="372"/>
    </row>
    <row r="691" spans="1:71" s="691" customFormat="1" ht="15" hidden="1" outlineLevel="1">
      <c r="A691" s="262" t="s">
        <v>397</v>
      </c>
      <c r="B691" s="435"/>
      <c r="C691" s="633" t="str">
        <f ca="1">IFERROR(IF(INDEX(MO_Common_QEndDate,0,COLUMN())&gt;TODAY(),_xll.FDS(MO.ReportCurrency&amp;HP.TradeCurrency,"FG_PRICE(NOW)"),_xll.FDS(MO.ReportCurrency&amp;HP.TradeCurrency,"P_PRICE_AVG("&amp;INDEX(MO_SNA_FPStartDate,0,COLUMN())&amp;","&amp;INDEX(MO_Common_QEndDate,0,COLUMN())&amp;",,,,0)")),"N/A")</f>
        <v>N/A</v>
      </c>
      <c r="D691" s="633" t="str">
        <f ca="1">IFERROR(IF(INDEX(MO_Common_QEndDate,0,COLUMN())&gt;TODAY(),_xll.FDS(MO.ReportCurrency&amp;HP.TradeCurrency,"FG_PRICE(NOW)"),_xll.FDS(MO.ReportCurrency&amp;HP.TradeCurrency,"P_PRICE_AVG("&amp;INDEX(MO_SNA_FPStartDate,0,COLUMN())&amp;","&amp;INDEX(MO_Common_QEndDate,0,COLUMN())&amp;",,,,0)")),"N/A")</f>
        <v>N/A</v>
      </c>
      <c r="E691" s="634" t="str">
        <f ca="1">IFERROR(IF(INDEX(MO_Common_QEndDate,0,COLUMN())&gt;TODAY(),_xll.FDS(MO.ReportCurrency&amp;HP.TradeCurrency,"FG_PRICE(NOW)"),_xll.FDS(MO.ReportCurrency&amp;HP.TradeCurrency,"P_PRICE_AVG("&amp;INDEX(MO_SNA_FPStartDate,0,COLUMN())&amp;","&amp;INDEX(MO_Common_QEndDate,0,COLUMN())&amp;",,,,0)")),"N/A")</f>
        <v>N/A</v>
      </c>
      <c r="F691" s="634" t="str">
        <f ca="1">IFERROR(IF(INDEX(MO_Common_QEndDate,0,COLUMN())&gt;TODAY(),_xll.FDS(MO.ReportCurrency&amp;HP.TradeCurrency,"FG_PRICE(NOW)"),_xll.FDS(MO.ReportCurrency&amp;HP.TradeCurrency,"P_PRICE_AVG("&amp;INDEX(MO_SNA_FPStartDate,0,COLUMN())&amp;","&amp;INDEX(MO_Common_QEndDate,0,COLUMN())&amp;",,,,0)")),"N/A")</f>
        <v>N/A</v>
      </c>
      <c r="G691" s="634" t="str">
        <f ca="1">IFERROR(IF(INDEX(MO_Common_QEndDate,0,COLUMN())&gt;TODAY(),_xll.FDS(MO.ReportCurrency&amp;HP.TradeCurrency,"FG_PRICE(NOW)"),_xll.FDS(MO.ReportCurrency&amp;HP.TradeCurrency,"P_PRICE_AVG("&amp;INDEX(MO_SNA_FPStartDate,0,COLUMN())&amp;","&amp;INDEX(MO_Common_QEndDate,0,COLUMN())&amp;",,,,0)")),"N/A")</f>
        <v>N/A</v>
      </c>
      <c r="H691" s="634" t="str">
        <f ca="1">IFERROR(IF(INDEX(MO_Common_QEndDate,0,COLUMN())&gt;TODAY(),_xll.FDS(MO.ReportCurrency&amp;HP.TradeCurrency,"FG_PRICE(NOW)"),_xll.FDS(MO.ReportCurrency&amp;HP.TradeCurrency,"P_PRICE_AVG("&amp;INDEX(MO_SNA_FPStartDate,0,COLUMN())&amp;","&amp;INDEX(MO_Common_QEndDate,0,COLUMN())&amp;",,,,0)")),"N/A")</f>
        <v>N/A</v>
      </c>
      <c r="I691" s="634" t="str">
        <f ca="1">IFERROR(IF(INDEX(MO_Common_QEndDate,0,COLUMN())&gt;TODAY(),_xll.FDS(MO.ReportCurrency&amp;HP.TradeCurrency,"FG_PRICE(NOW)"),_xll.FDS(MO.ReportCurrency&amp;HP.TradeCurrency,"P_PRICE_AVG("&amp;INDEX(MO_SNA_FPStartDate,0,COLUMN())&amp;","&amp;INDEX(MO_Common_QEndDate,0,COLUMN())&amp;",,,,0)")),"N/A")</f>
        <v>N/A</v>
      </c>
      <c r="J691" s="634" t="str">
        <f ca="1">IFERROR(IF(INDEX(MO_Common_QEndDate,0,COLUMN())&gt;TODAY(),_xll.FDS(MO.ReportCurrency&amp;HP.TradeCurrency,"FG_PRICE(NOW)"),_xll.FDS(MO.ReportCurrency&amp;HP.TradeCurrency,"P_PRICE_AVG("&amp;INDEX(MO_SNA_FPStartDate,0,COLUMN())&amp;","&amp;INDEX(MO_Common_QEndDate,0,COLUMN())&amp;",,,,0)")),"N/A")</f>
        <v>N/A</v>
      </c>
      <c r="K691" s="634" t="str">
        <f ca="1">IFERROR(IF(INDEX(MO_Common_QEndDate,0,COLUMN())&gt;TODAY(),_xll.FDS(MO.ReportCurrency&amp;HP.TradeCurrency,"FG_PRICE(NOW)"),_xll.FDS(MO.ReportCurrency&amp;HP.TradeCurrency,"P_PRICE_AVG("&amp;INDEX(MO_SNA_FPStartDate,0,COLUMN())&amp;","&amp;INDEX(MO_Common_QEndDate,0,COLUMN())&amp;",,,,0)")),"N/A")</f>
        <v>N/A</v>
      </c>
      <c r="L691" s="634" t="str">
        <f ca="1">IFERROR(IF(INDEX(MO_Common_QEndDate,0,COLUMN())&gt;TODAY(),_xll.FDS(MO.ReportCurrency&amp;HP.TradeCurrency,"FG_PRICE(NOW)"),_xll.FDS(MO.ReportCurrency&amp;HP.TradeCurrency,"P_PRICE_AVG("&amp;INDEX(MO_SNA_FPStartDate,0,COLUMN())&amp;","&amp;INDEX(MO_Common_QEndDate,0,COLUMN())&amp;",,,,0)")),"N/A")</f>
        <v>N/A</v>
      </c>
      <c r="M691" s="634" t="str">
        <f ca="1">IFERROR(IF(INDEX(MO_Common_QEndDate,0,COLUMN())&gt;TODAY(),_xll.FDS(MO.ReportCurrency&amp;HP.TradeCurrency,"FG_PRICE(NOW)"),_xll.FDS(MO.ReportCurrency&amp;HP.TradeCurrency,"P_PRICE_AVG("&amp;INDEX(MO_SNA_FPStartDate,0,COLUMN())&amp;","&amp;INDEX(MO_Common_QEndDate,0,COLUMN())&amp;",,,,0)")),"N/A")</f>
        <v>N/A</v>
      </c>
      <c r="N691" s="634" t="str">
        <f ca="1">IFERROR(IF(INDEX(MO_Common_QEndDate,0,COLUMN())&gt;TODAY(),_xll.FDS(MO.ReportCurrency&amp;HP.TradeCurrency,"FG_PRICE(NOW)"),_xll.FDS(MO.ReportCurrency&amp;HP.TradeCurrency,"P_PRICE_AVG("&amp;INDEX(MO_SNA_FPStartDate,0,COLUMN())&amp;","&amp;INDEX(MO_Common_QEndDate,0,COLUMN())&amp;",,,,0)")),"N/A")</f>
        <v>N/A</v>
      </c>
      <c r="O691" s="634" t="str">
        <f ca="1">IFERROR(IF(INDEX(MO_Common_QEndDate,0,COLUMN())&gt;TODAY(),_xll.FDS(MO.ReportCurrency&amp;HP.TradeCurrency,"FG_PRICE(NOW)"),_xll.FDS(MO.ReportCurrency&amp;HP.TradeCurrency,"P_PRICE_AVG("&amp;INDEX(MO_SNA_FPStartDate,0,COLUMN())&amp;","&amp;INDEX(MO_Common_QEndDate,0,COLUMN())&amp;",,,,0)")),"N/A")</f>
        <v>N/A</v>
      </c>
      <c r="P691" s="634" t="str">
        <f ca="1">IFERROR(IF(INDEX(MO_Common_QEndDate,0,COLUMN())&gt;TODAY(),_xll.FDS(MO.ReportCurrency&amp;HP.TradeCurrency,"FG_PRICE(NOW)"),_xll.FDS(MO.ReportCurrency&amp;HP.TradeCurrency,"P_PRICE_AVG("&amp;INDEX(MO_SNA_FPStartDate,0,COLUMN())&amp;","&amp;INDEX(MO_Common_QEndDate,0,COLUMN())&amp;",,,,0)")),"N/A")</f>
        <v>N/A</v>
      </c>
      <c r="Q691" s="634" t="str">
        <f ca="1">IFERROR(IF(INDEX(MO_Common_QEndDate,0,COLUMN())&gt;TODAY(),_xll.FDS(MO.ReportCurrency&amp;HP.TradeCurrency,"FG_PRICE(NOW)"),_xll.FDS(MO.ReportCurrency&amp;HP.TradeCurrency,"P_PRICE_AVG("&amp;INDEX(MO_SNA_FPStartDate,0,COLUMN())&amp;","&amp;INDEX(MO_Common_QEndDate,0,COLUMN())&amp;",,,,0)")),"N/A")</f>
        <v>N/A</v>
      </c>
      <c r="R691" s="634" t="str">
        <f ca="1">IFERROR(IF(INDEX(MO_Common_QEndDate,0,COLUMN())&gt;TODAY(),_xll.FDS(MO.ReportCurrency&amp;HP.TradeCurrency,"FG_PRICE(NOW)"),_xll.FDS(MO.ReportCurrency&amp;HP.TradeCurrency,"P_PRICE_AVG("&amp;INDEX(MO_SNA_FPStartDate,0,COLUMN())&amp;","&amp;INDEX(MO_Common_QEndDate,0,COLUMN())&amp;",,,,0)")),"N/A")</f>
        <v>N/A</v>
      </c>
      <c r="S691" s="634" t="str">
        <f ca="1">IFERROR(IF(INDEX(MO_Common_QEndDate,0,COLUMN())&gt;TODAY(),_xll.FDS(MO.ReportCurrency&amp;HP.TradeCurrency,"FG_PRICE(NOW)"),_xll.FDS(MO.ReportCurrency&amp;HP.TradeCurrency,"P_PRICE_AVG("&amp;INDEX(MO_SNA_FPStartDate,0,COLUMN())&amp;","&amp;INDEX(MO_Common_QEndDate,0,COLUMN())&amp;",,,,0)")),"N/A")</f>
        <v>N/A</v>
      </c>
      <c r="T691" s="634" t="str">
        <f ca="1">IFERROR(IF(INDEX(MO_Common_QEndDate,0,COLUMN())&gt;TODAY(),_xll.FDS(MO.ReportCurrency&amp;HP.TradeCurrency,"FG_PRICE(NOW)"),_xll.FDS(MO.ReportCurrency&amp;HP.TradeCurrency,"P_PRICE_AVG("&amp;INDEX(MO_SNA_FPStartDate,0,COLUMN())&amp;","&amp;INDEX(MO_Common_QEndDate,0,COLUMN())&amp;",,,,0)")),"N/A")</f>
        <v>N/A</v>
      </c>
      <c r="U691" s="634" t="str">
        <f ca="1">IFERROR(IF(INDEX(MO_Common_QEndDate,0,COLUMN())&gt;TODAY(),_xll.FDS(MO.ReportCurrency&amp;HP.TradeCurrency,"FG_PRICE(NOW)"),_xll.FDS(MO.ReportCurrency&amp;HP.TradeCurrency,"P_PRICE_AVG("&amp;INDEX(MO_SNA_FPStartDate,0,COLUMN())&amp;","&amp;INDEX(MO_Common_QEndDate,0,COLUMN())&amp;",,,,0)")),"N/A")</f>
        <v>N/A</v>
      </c>
      <c r="V691" s="634" t="str">
        <f ca="1">IFERROR(IF(INDEX(MO_Common_QEndDate,0,COLUMN())&gt;TODAY(),_xll.FDS(MO.ReportCurrency&amp;HP.TradeCurrency,"FG_PRICE(NOW)"),_xll.FDS(MO.ReportCurrency&amp;HP.TradeCurrency,"P_PRICE_AVG("&amp;INDEX(MO_SNA_FPStartDate,0,COLUMN())&amp;","&amp;INDEX(MO_Common_QEndDate,0,COLUMN())&amp;",,,,0)")),"N/A")</f>
        <v>N/A</v>
      </c>
      <c r="W691" s="634" t="str">
        <f ca="1">IFERROR(IF(INDEX(MO_Common_QEndDate,0,COLUMN())&gt;TODAY(),_xll.FDS(MO.ReportCurrency&amp;HP.TradeCurrency,"FG_PRICE(NOW)"),_xll.FDS(MO.ReportCurrency&amp;HP.TradeCurrency,"P_PRICE_AVG("&amp;INDEX(MO_SNA_FPStartDate,0,COLUMN())&amp;","&amp;INDEX(MO_Common_QEndDate,0,COLUMN())&amp;",,,,0)")),"N/A")</f>
        <v>N/A</v>
      </c>
      <c r="X691" s="634" t="str">
        <f ca="1">IFERROR(IF(INDEX(MO_Common_QEndDate,0,COLUMN())&gt;TODAY(),_xll.FDS(MO.ReportCurrency&amp;HP.TradeCurrency,"FG_PRICE(NOW)"),_xll.FDS(MO.ReportCurrency&amp;HP.TradeCurrency,"P_PRICE_AVG("&amp;INDEX(MO_SNA_FPStartDate,0,COLUMN())&amp;","&amp;INDEX(MO_Common_QEndDate,0,COLUMN())&amp;",,,,0)")),"N/A")</f>
        <v>N/A</v>
      </c>
      <c r="Y691" s="634" t="str">
        <f ca="1">IFERROR(IF(INDEX(MO_Common_QEndDate,0,COLUMN())&gt;TODAY(),_xll.FDS(MO.ReportCurrency&amp;HP.TradeCurrency,"FG_PRICE(NOW)"),_xll.FDS(MO.ReportCurrency&amp;HP.TradeCurrency,"P_PRICE_AVG("&amp;INDEX(MO_SNA_FPStartDate,0,COLUMN())&amp;","&amp;INDEX(MO_Common_QEndDate,0,COLUMN())&amp;",,,,0)")),"N/A")</f>
        <v>N/A</v>
      </c>
      <c r="Z691" s="634" t="str">
        <f ca="1">IFERROR(IF(INDEX(MO_Common_QEndDate,0,COLUMN())&gt;TODAY(),_xll.FDS(MO.ReportCurrency&amp;HP.TradeCurrency,"FG_PRICE(NOW)"),_xll.FDS(MO.ReportCurrency&amp;HP.TradeCurrency,"P_PRICE_AVG("&amp;INDEX(MO_SNA_FPStartDate,0,COLUMN())&amp;","&amp;INDEX(MO_Common_QEndDate,0,COLUMN())&amp;",,,,0)")),"N/A")</f>
        <v>N/A</v>
      </c>
      <c r="AA691" s="634" t="str">
        <f ca="1">IFERROR(IF(INDEX(MO_Common_QEndDate,0,COLUMN())&gt;TODAY(),_xll.FDS(MO.ReportCurrency&amp;HP.TradeCurrency,"FG_PRICE(NOW)"),_xll.FDS(MO.ReportCurrency&amp;HP.TradeCurrency,"P_PRICE_AVG("&amp;INDEX(MO_SNA_FPStartDate,0,COLUMN())&amp;","&amp;INDEX(MO_Common_QEndDate,0,COLUMN())&amp;",,,,0)")),"N/A")</f>
        <v>N/A</v>
      </c>
      <c r="AB691" s="634" t="str">
        <f ca="1">IFERROR(IF(INDEX(MO_Common_QEndDate,0,COLUMN())&gt;TODAY(),_xll.FDS(MO.ReportCurrency&amp;HP.TradeCurrency,"FG_PRICE(NOW)"),_xll.FDS(MO.ReportCurrency&amp;HP.TradeCurrency,"P_PRICE_AVG("&amp;INDEX(MO_SNA_FPStartDate,0,COLUMN())&amp;","&amp;INDEX(MO_Common_QEndDate,0,COLUMN())&amp;",,,,0)")),"N/A")</f>
        <v>N/A</v>
      </c>
      <c r="AC691" s="634" t="str">
        <f ca="1">IFERROR(IF(INDEX(MO_Common_QEndDate,0,COLUMN())&gt;TODAY(),_xll.FDS(MO.ReportCurrency&amp;HP.TradeCurrency,"FG_PRICE(NOW)"),_xll.FDS(MO.ReportCurrency&amp;HP.TradeCurrency,"P_PRICE_AVG("&amp;INDEX(MO_SNA_FPStartDate,0,COLUMN())&amp;","&amp;INDEX(MO_Common_QEndDate,0,COLUMN())&amp;",,,,0)")),"N/A")</f>
        <v>N/A</v>
      </c>
      <c r="AD691" s="634" t="str">
        <f ca="1">IFERROR(IF(INDEX(MO_Common_QEndDate,0,COLUMN())&gt;TODAY(),_xll.FDS(MO.ReportCurrency&amp;HP.TradeCurrency,"FG_PRICE(NOW)"),_xll.FDS(MO.ReportCurrency&amp;HP.TradeCurrency,"P_PRICE_AVG("&amp;INDEX(MO_SNA_FPStartDate,0,COLUMN())&amp;","&amp;INDEX(MO_Common_QEndDate,0,COLUMN())&amp;",,,,0)")),"N/A")</f>
        <v>N/A</v>
      </c>
      <c r="AE691" s="634" t="str">
        <f ca="1">IFERROR(IF(INDEX(MO_Common_QEndDate,0,COLUMN())&gt;TODAY(),_xll.FDS(MO.ReportCurrency&amp;HP.TradeCurrency,"FG_PRICE(NOW)"),_xll.FDS(MO.ReportCurrency&amp;HP.TradeCurrency,"P_PRICE_AVG("&amp;INDEX(MO_SNA_FPStartDate,0,COLUMN())&amp;","&amp;INDEX(MO_Common_QEndDate,0,COLUMN())&amp;",,,,0)")),"N/A")</f>
        <v>N/A</v>
      </c>
      <c r="AF691" s="634" t="str">
        <f ca="1">IFERROR(IF(INDEX(MO_Common_QEndDate,0,COLUMN())&gt;TODAY(),_xll.FDS(MO.ReportCurrency&amp;HP.TradeCurrency,"FG_PRICE(NOW)"),_xll.FDS(MO.ReportCurrency&amp;HP.TradeCurrency,"P_PRICE_AVG("&amp;INDEX(MO_SNA_FPStartDate,0,COLUMN())&amp;","&amp;INDEX(MO_Common_QEndDate,0,COLUMN())&amp;",,,,0)")),"N/A")</f>
        <v>N/A</v>
      </c>
      <c r="AG691" s="634" t="str">
        <f ca="1">IFERROR(IF(INDEX(MO_Common_QEndDate,0,COLUMN())&gt;TODAY(),_xll.FDS(MO.ReportCurrency&amp;HP.TradeCurrency,"FG_PRICE(NOW)"),_xll.FDS(MO.ReportCurrency&amp;HP.TradeCurrency,"P_PRICE_AVG("&amp;INDEX(MO_SNA_FPStartDate,0,COLUMN())&amp;","&amp;INDEX(MO_Common_QEndDate,0,COLUMN())&amp;",,,,0)")),"N/A")</f>
        <v>N/A</v>
      </c>
      <c r="AH691" s="634" t="str">
        <f ca="1">IFERROR(IF(INDEX(MO_Common_QEndDate,0,COLUMN())&gt;TODAY(),_xll.FDS(MO.ReportCurrency&amp;HP.TradeCurrency,"FG_PRICE(NOW)"),_xll.FDS(MO.ReportCurrency&amp;HP.TradeCurrency,"P_PRICE_AVG("&amp;INDEX(MO_SNA_FPStartDate,0,COLUMN())&amp;","&amp;INDEX(MO_Common_QEndDate,0,COLUMN())&amp;",,,,0)")),"N/A")</f>
        <v>N/A</v>
      </c>
      <c r="AI691" s="634" t="str">
        <f ca="1">IFERROR(IF(INDEX(MO_Common_QEndDate,0,COLUMN())&gt;TODAY(),_xll.FDS(MO.ReportCurrency&amp;HP.TradeCurrency,"FG_PRICE(NOW)"),_xll.FDS(MO.ReportCurrency&amp;HP.TradeCurrency,"P_PRICE_AVG("&amp;INDEX(MO_SNA_FPStartDate,0,COLUMN())&amp;","&amp;INDEX(MO_Common_QEndDate,0,COLUMN())&amp;",,,,0)")),"N/A")</f>
        <v>N/A</v>
      </c>
      <c r="AJ691" s="634" t="str">
        <f ca="1">IFERROR(IF(INDEX(MO_Common_QEndDate,0,COLUMN())&gt;TODAY(),_xll.FDS(MO.ReportCurrency&amp;HP.TradeCurrency,"FG_PRICE(NOW)"),_xll.FDS(MO.ReportCurrency&amp;HP.TradeCurrency,"P_PRICE_AVG("&amp;INDEX(MO_SNA_FPStartDate,0,COLUMN())&amp;","&amp;INDEX(MO_Common_QEndDate,0,COLUMN())&amp;",,,,0)")),"N/A")</f>
        <v>N/A</v>
      </c>
      <c r="AK691" s="634" t="str">
        <f ca="1">IFERROR(IF(INDEX(MO_Common_QEndDate,0,COLUMN())&gt;TODAY(),_xll.FDS(MO.ReportCurrency&amp;HP.TradeCurrency,"FG_PRICE(NOW)"),_xll.FDS(MO.ReportCurrency&amp;HP.TradeCurrency,"P_PRICE_AVG("&amp;INDEX(MO_SNA_FPStartDate,0,COLUMN())&amp;","&amp;INDEX(MO_Common_QEndDate,0,COLUMN())&amp;",,,,0)")),"N/A")</f>
        <v>N/A</v>
      </c>
      <c r="AL691" s="634" t="str">
        <f ca="1">IFERROR(IF(INDEX(MO_Common_QEndDate,0,COLUMN())&gt;TODAY(),_xll.FDS(MO.ReportCurrency&amp;HP.TradeCurrency,"FG_PRICE(NOW)"),_xll.FDS(MO.ReportCurrency&amp;HP.TradeCurrency,"P_PRICE_AVG("&amp;INDEX(MO_SNA_FPStartDate,0,COLUMN())&amp;","&amp;INDEX(MO_Common_QEndDate,0,COLUMN())&amp;",,,,0)")),"N/A")</f>
        <v>N/A</v>
      </c>
      <c r="AM691" s="634" t="str">
        <f ca="1">IFERROR(IF(INDEX(MO_Common_QEndDate,0,COLUMN())&gt;TODAY(),_xll.FDS(MO.ReportCurrency&amp;HP.TradeCurrency,"FG_PRICE(NOW)"),_xll.FDS(MO.ReportCurrency&amp;HP.TradeCurrency,"P_PRICE_AVG("&amp;INDEX(MO_SNA_FPStartDate,0,COLUMN())&amp;","&amp;INDEX(MO_Common_QEndDate,0,COLUMN())&amp;",,,,0)")),"N/A")</f>
        <v>N/A</v>
      </c>
      <c r="AN691" s="634" t="str">
        <f ca="1">IFERROR(IF(INDEX(MO_Common_QEndDate,0,COLUMN())&gt;TODAY(),_xll.FDS(MO.ReportCurrency&amp;HP.TradeCurrency,"FG_PRICE(NOW)"),_xll.FDS(MO.ReportCurrency&amp;HP.TradeCurrency,"P_PRICE_AVG("&amp;INDEX(MO_SNA_FPStartDate,0,COLUMN())&amp;","&amp;INDEX(MO_Common_QEndDate,0,COLUMN())&amp;",,,,0)")),"N/A")</f>
        <v>N/A</v>
      </c>
      <c r="AO691" s="634" t="str">
        <f ca="1">IFERROR(IF(INDEX(MO_Common_QEndDate,0,COLUMN())&gt;TODAY(),_xll.FDS(MO.ReportCurrency&amp;HP.TradeCurrency,"FG_PRICE(NOW)"),_xll.FDS(MO.ReportCurrency&amp;HP.TradeCurrency,"P_PRICE_AVG("&amp;INDEX(MO_SNA_FPStartDate,0,COLUMN())&amp;","&amp;INDEX(MO_Common_QEndDate,0,COLUMN())&amp;",,,,0)")),"N/A")</f>
        <v>N/A</v>
      </c>
      <c r="AP691" s="634" t="str">
        <f ca="1">IFERROR(IF(INDEX(MO_Common_QEndDate,0,COLUMN())&gt;TODAY(),_xll.FDS(MO.ReportCurrency&amp;HP.TradeCurrency,"FG_PRICE(NOW)"),_xll.FDS(MO.ReportCurrency&amp;HP.TradeCurrency,"P_PRICE_AVG("&amp;INDEX(MO_SNA_FPStartDate,0,COLUMN())&amp;","&amp;INDEX(MO_Common_QEndDate,0,COLUMN())&amp;",,,,0)")),"N/A")</f>
        <v>N/A</v>
      </c>
      <c r="AQ691" s="634" t="str">
        <f ca="1">IFERROR(IF(INDEX(MO_Common_QEndDate,0,COLUMN())&gt;TODAY(),_xll.FDS(MO.ReportCurrency&amp;HP.TradeCurrency,"FG_PRICE(NOW)"),_xll.FDS(MO.ReportCurrency&amp;HP.TradeCurrency,"P_PRICE_AVG("&amp;INDEX(MO_SNA_FPStartDate,0,COLUMN())&amp;","&amp;INDEX(MO_Common_QEndDate,0,COLUMN())&amp;",,,,0)")),"N/A")</f>
        <v>N/A</v>
      </c>
      <c r="AR691" s="634" t="str">
        <f ca="1">IFERROR(IF(INDEX(MO_Common_QEndDate,0,COLUMN())&gt;TODAY(),_xll.FDS(MO.ReportCurrency&amp;HP.TradeCurrency,"FG_PRICE(NOW)"),_xll.FDS(MO.ReportCurrency&amp;HP.TradeCurrency,"P_PRICE_AVG("&amp;INDEX(MO_SNA_FPStartDate,0,COLUMN())&amp;","&amp;INDEX(MO_Common_QEndDate,0,COLUMN())&amp;",,,,0)")),"N/A")</f>
        <v>N/A</v>
      </c>
      <c r="AS691" s="634" t="str">
        <f ca="1">IFERROR(IF(INDEX(MO_Common_QEndDate,0,COLUMN())&gt;TODAY(),_xll.FDS(MO.ReportCurrency&amp;HP.TradeCurrency,"FG_PRICE(NOW)"),_xll.FDS(MO.ReportCurrency&amp;HP.TradeCurrency,"P_PRICE_AVG("&amp;INDEX(MO_SNA_FPStartDate,0,COLUMN())&amp;","&amp;INDEX(MO_Common_QEndDate,0,COLUMN())&amp;",,,,0)")),"N/A")</f>
        <v>N/A</v>
      </c>
      <c r="AT691" s="634" t="str">
        <f ca="1">IFERROR(IF(INDEX(MO_Common_QEndDate,0,COLUMN())&gt;TODAY(),_xll.FDS(MO.ReportCurrency&amp;HP.TradeCurrency,"FG_PRICE(NOW)"),_xll.FDS(MO.ReportCurrency&amp;HP.TradeCurrency,"P_PRICE_AVG("&amp;INDEX(MO_SNA_FPStartDate,0,COLUMN())&amp;","&amp;INDEX(MO_Common_QEndDate,0,COLUMN())&amp;",,,,0)")),"N/A")</f>
        <v>N/A</v>
      </c>
      <c r="AU691" s="634" t="str">
        <f ca="1">IFERROR(IF(INDEX(MO_Common_QEndDate,0,COLUMN())&gt;TODAY(),_xll.FDS(MO.ReportCurrency&amp;HP.TradeCurrency,"FG_PRICE(NOW)"),_xll.FDS(MO.ReportCurrency&amp;HP.TradeCurrency,"P_PRICE_AVG("&amp;INDEX(MO_SNA_FPStartDate,0,COLUMN())&amp;","&amp;INDEX(MO_Common_QEndDate,0,COLUMN())&amp;",,,,0)")),"N/A")</f>
        <v>N/A</v>
      </c>
      <c r="AV691" s="634" t="str">
        <f ca="1">IFERROR(IF(INDEX(MO_Common_QEndDate,0,COLUMN())&gt;TODAY(),_xll.FDS(MO.ReportCurrency&amp;HP.TradeCurrency,"FG_PRICE(NOW)"),_xll.FDS(MO.ReportCurrency&amp;HP.TradeCurrency,"P_PRICE_AVG("&amp;INDEX(MO_SNA_FPStartDate,0,COLUMN())&amp;","&amp;INDEX(MO_Common_QEndDate,0,COLUMN())&amp;",,,,0)")),"N/A")</f>
        <v>N/A</v>
      </c>
      <c r="AW691" s="634" t="str">
        <f ca="1">IFERROR(IF(INDEX(MO_Common_QEndDate,0,COLUMN())&gt;TODAY(),_xll.FDS(MO.ReportCurrency&amp;HP.TradeCurrency,"FG_PRICE(NOW)"),_xll.FDS(MO.ReportCurrency&amp;HP.TradeCurrency,"P_PRICE_AVG("&amp;INDEX(MO_SNA_FPStartDate,0,COLUMN())&amp;","&amp;INDEX(MO_Common_QEndDate,0,COLUMN())&amp;",,,,0)")),"N/A")</f>
        <v>N/A</v>
      </c>
      <c r="AX691" s="634" t="str">
        <f ca="1">IFERROR(IF(INDEX(MO_Common_QEndDate,0,COLUMN())&gt;TODAY(),_xll.FDS(MO.ReportCurrency&amp;HP.TradeCurrency,"FG_PRICE(NOW)"),_xll.FDS(MO.ReportCurrency&amp;HP.TradeCurrency,"P_PRICE_AVG("&amp;INDEX(MO_SNA_FPStartDate,0,COLUMN())&amp;","&amp;INDEX(MO_Common_QEndDate,0,COLUMN())&amp;",,,,0)")),"N/A")</f>
        <v>N/A</v>
      </c>
      <c r="AY691" s="634" t="str">
        <f ca="1">IFERROR(IF(INDEX(MO_Common_QEndDate,0,COLUMN())&gt;TODAY(),_xll.FDS(MO.ReportCurrency&amp;HP.TradeCurrency,"FG_PRICE(NOW)"),_xll.FDS(MO.ReportCurrency&amp;HP.TradeCurrency,"P_PRICE_AVG("&amp;INDEX(MO_SNA_FPStartDate,0,COLUMN())&amp;","&amp;INDEX(MO_Common_QEndDate,0,COLUMN())&amp;",,,,0)")),"N/A")</f>
        <v>N/A</v>
      </c>
      <c r="AZ691" s="634" t="str">
        <f ca="1">IFERROR(IF(INDEX(MO_Common_QEndDate,0,COLUMN())&gt;TODAY(),_xll.FDS(MO.ReportCurrency&amp;HP.TradeCurrency,"FG_PRICE(NOW)"),_xll.FDS(MO.ReportCurrency&amp;HP.TradeCurrency,"P_PRICE_AVG("&amp;INDEX(MO_SNA_FPStartDate,0,COLUMN())&amp;","&amp;INDEX(MO_Common_QEndDate,0,COLUMN())&amp;",,,,0)")),"N/A")</f>
        <v>N/A</v>
      </c>
      <c r="BA691" s="634" t="str">
        <f ca="1">IFERROR(IF(INDEX(MO_Common_QEndDate,0,COLUMN())&gt;TODAY(),_xll.FDS(MO.ReportCurrency&amp;HP.TradeCurrency,"FG_PRICE(NOW)"),_xll.FDS(MO.ReportCurrency&amp;HP.TradeCurrency,"P_PRICE_AVG("&amp;INDEX(MO_SNA_FPStartDate,0,COLUMN())&amp;","&amp;INDEX(MO_Common_QEndDate,0,COLUMN())&amp;",,,,0)")),"N/A")</f>
        <v>N/A</v>
      </c>
      <c r="BB691" s="634" t="str">
        <f ca="1">IFERROR(IF(INDEX(MO_Common_QEndDate,0,COLUMN())&gt;TODAY(),_xll.FDS(MO.ReportCurrency&amp;HP.TradeCurrency,"FG_PRICE(NOW)"),_xll.FDS(MO.ReportCurrency&amp;HP.TradeCurrency,"P_PRICE_AVG("&amp;INDEX(MO_SNA_FPStartDate,0,COLUMN())&amp;","&amp;INDEX(MO_Common_QEndDate,0,COLUMN())&amp;",,,,0)")),"N/A")</f>
        <v>N/A</v>
      </c>
      <c r="BC691" s="634" t="str">
        <f ca="1">IFERROR(IF(INDEX(MO_Common_QEndDate,0,COLUMN())&gt;TODAY(),_xll.FDS(MO.ReportCurrency&amp;HP.TradeCurrency,"FG_PRICE(NOW)"),_xll.FDS(MO.ReportCurrency&amp;HP.TradeCurrency,"P_PRICE_AVG("&amp;INDEX(MO_SNA_FPStartDate,0,COLUMN())&amp;","&amp;INDEX(MO_Common_QEndDate,0,COLUMN())&amp;",,,,0)")),"N/A")</f>
        <v>N/A</v>
      </c>
      <c r="BD691" s="634" t="str">
        <f ca="1">IFERROR(IF(INDEX(MO_Common_QEndDate,0,COLUMN())&gt;TODAY(),_xll.FDS(MO.ReportCurrency&amp;HP.TradeCurrency,"FG_PRICE(NOW)"),_xll.FDS(MO.ReportCurrency&amp;HP.TradeCurrency,"P_PRICE_AVG("&amp;INDEX(MO_SNA_FPStartDate,0,COLUMN())&amp;","&amp;INDEX(MO_Common_QEndDate,0,COLUMN())&amp;",,,,0)")),"N/A")</f>
        <v>N/A</v>
      </c>
      <c r="BE691" s="634" t="str">
        <f ca="1">IFERROR(IF(INDEX(MO_Common_QEndDate,0,COLUMN())&gt;TODAY(),_xll.FDS(MO.ReportCurrency&amp;HP.TradeCurrency,"FG_PRICE(NOW)"),_xll.FDS(MO.ReportCurrency&amp;HP.TradeCurrency,"P_PRICE_AVG("&amp;INDEX(MO_SNA_FPStartDate,0,COLUMN())&amp;","&amp;INDEX(MO_Common_QEndDate,0,COLUMN())&amp;",,,,0)")),"N/A")</f>
        <v>N/A</v>
      </c>
      <c r="BF691" s="634" t="str">
        <f ca="1">IFERROR(IF(INDEX(MO_Common_QEndDate,0,COLUMN())&gt;TODAY(),_xll.FDS(MO.ReportCurrency&amp;HP.TradeCurrency,"FG_PRICE(NOW)"),_xll.FDS(MO.ReportCurrency&amp;HP.TradeCurrency,"P_PRICE_AVG("&amp;INDEX(MO_SNA_FPStartDate,0,COLUMN())&amp;","&amp;INDEX(MO_Common_QEndDate,0,COLUMN())&amp;",,,,0)")),"N/A")</f>
        <v>N/A</v>
      </c>
      <c r="BG691" s="634" t="str">
        <f ca="1">IFERROR(IF(INDEX(MO_Common_QEndDate,0,COLUMN())&gt;TODAY(),_xll.FDS(MO.ReportCurrency&amp;HP.TradeCurrency,"FG_PRICE(NOW)"),_xll.FDS(MO.ReportCurrency&amp;HP.TradeCurrency,"P_PRICE_AVG("&amp;INDEX(MO_SNA_FPStartDate,0,COLUMN())&amp;","&amp;INDEX(MO_Common_QEndDate,0,COLUMN())&amp;",,,,0)")),"N/A")</f>
        <v>N/A</v>
      </c>
      <c r="BH691" s="635" t="str">
        <f ca="1">IFERROR(IF(INDEX(MO_Common_QEndDate,0,COLUMN())&gt;TODAY(),_xll.FDS(MO.ReportCurrency&amp;HP.TradeCurrency,"FG_PRICE(NOW)"),_xll.FDS(MO.ReportCurrency&amp;HP.TradeCurrency,"P_PRICE_AVG("&amp;INDEX(MO_SNA_FPStartDate,0,COLUMN())&amp;","&amp;INDEX(MO_Common_QEndDate,0,COLUMN())&amp;",,,,0)")),"N/A")</f>
        <v>N/A</v>
      </c>
      <c r="BI691" s="435" t="str">
        <f ca="1">IFERROR(IF(INDEX(MO_Common_QEndDate,0,COLUMN())&gt;TODAY(),_xll.FDS(MO.ReportCurrency&amp;HP.TradeCurrency,"FG_PRICE(NOW)"),_xll.FDS(MO.ReportCurrency&amp;HP.TradeCurrency,"P_PRICE_AVG("&amp;INDEX(MO_SNA_FPStartDate,0,COLUMN())&amp;","&amp;INDEX(MO_Common_QEndDate,0,COLUMN())&amp;",,,,0)")),"N/A")</f>
        <v>N/A</v>
      </c>
      <c r="BJ691" s="435" t="str">
        <f ca="1">IFERROR(IF(INDEX(MO_Common_QEndDate,0,COLUMN())&gt;TODAY(),_xll.FDS(MO.ReportCurrency&amp;HP.TradeCurrency,"FG_PRICE(NOW)"),_xll.FDS(MO.ReportCurrency&amp;HP.TradeCurrency,"P_PRICE_AVG("&amp;INDEX(MO_SNA_FPStartDate,0,COLUMN())&amp;","&amp;INDEX(MO_Common_QEndDate,0,COLUMN())&amp;",,,,0)")),"N/A")</f>
        <v>N/A</v>
      </c>
      <c r="BK691" s="435" t="str">
        <f ca="1">IFERROR(IF(INDEX(MO_Common_QEndDate,0,COLUMN())&gt;TODAY(),_xll.FDS(MO.ReportCurrency&amp;HP.TradeCurrency,"FG_PRICE(NOW)"),_xll.FDS(MO.ReportCurrency&amp;HP.TradeCurrency,"P_PRICE_AVG("&amp;INDEX(MO_SNA_FPStartDate,0,COLUMN())&amp;","&amp;INDEX(MO_Common_QEndDate,0,COLUMN())&amp;",,,,0)")),"N/A")</f>
        <v>N/A</v>
      </c>
      <c r="BL691" s="435" t="str">
        <f ca="1">IFERROR(IF(INDEX(MO_Common_QEndDate,0,COLUMN())&gt;TODAY(),_xll.FDS(MO.ReportCurrency&amp;HP.TradeCurrency,"FG_PRICE(NOW)"),_xll.FDS(MO.ReportCurrency&amp;HP.TradeCurrency,"P_PRICE_AVG("&amp;INDEX(MO_SNA_FPStartDate,0,COLUMN())&amp;","&amp;INDEX(MO_Common_QEndDate,0,COLUMN())&amp;",,,,0)")),"N/A")</f>
        <v>N/A</v>
      </c>
      <c r="BM691" s="435" t="str">
        <f ca="1">IFERROR(IF(INDEX(MO_Common_QEndDate,0,COLUMN())&gt;TODAY(),_xll.FDS(MO.ReportCurrency&amp;HP.TradeCurrency,"FG_PRICE(NOW)"),_xll.FDS(MO.ReportCurrency&amp;HP.TradeCurrency,"P_PRICE_AVG("&amp;INDEX(MO_SNA_FPStartDate,0,COLUMN())&amp;","&amp;INDEX(MO_Common_QEndDate,0,COLUMN())&amp;",,,,0)")),"N/A")</f>
        <v>N/A</v>
      </c>
      <c r="BN691" s="435" t="str">
        <f ca="1">IFERROR(IF(INDEX(MO_Common_QEndDate,0,COLUMN())&gt;TODAY(),_xll.FDS(MO.ReportCurrency&amp;HP.TradeCurrency,"FG_PRICE(NOW)"),_xll.FDS(MO.ReportCurrency&amp;HP.TradeCurrency,"P_PRICE_AVG("&amp;INDEX(MO_SNA_FPStartDate,0,COLUMN())&amp;","&amp;INDEX(MO_Common_QEndDate,0,COLUMN())&amp;",,,,0)")),"N/A")</f>
        <v>N/A</v>
      </c>
      <c r="BO691" s="435" t="str">
        <f ca="1">IFERROR(IF(INDEX(MO_Common_QEndDate,0,COLUMN())&gt;TODAY(),_xll.FDS(MO.ReportCurrency&amp;HP.TradeCurrency,"FG_PRICE(NOW)"),_xll.FDS(MO.ReportCurrency&amp;HP.TradeCurrency,"P_PRICE_AVG("&amp;INDEX(MO_SNA_FPStartDate,0,COLUMN())&amp;","&amp;INDEX(MO_Common_QEndDate,0,COLUMN())&amp;",,,,0)")),"N/A")</f>
        <v>N/A</v>
      </c>
      <c r="BP691" s="634" t="str">
        <f ca="1">IFERROR(IF(INDEX(MO_Common_QEndDate,0,COLUMN())&gt;TODAY(),_xll.FDS(MO.ReportCurrency&amp;HP.TradeCurrency,"FG_PRICE(NOW)"),_xll.FDS(MO.ReportCurrency&amp;HP.TradeCurrency,"P_PRICE_AVG("&amp;INDEX(MO_SNA_FPStartDate,0,COLUMN())&amp;","&amp;INDEX(MO_Common_QEndDate,0,COLUMN())&amp;",,,,0)")),"N/A")</f>
        <v>N/A</v>
      </c>
      <c r="BQ691" s="634" t="str">
        <f ca="1">IFERROR(IF(INDEX(MO_Common_QEndDate,0,COLUMN())&gt;TODAY(),_xll.FDS(MO.ReportCurrency&amp;HP.TradeCurrency,"FG_PRICE(NOW)"),_xll.FDS(MO.ReportCurrency&amp;HP.TradeCurrency,"P_PRICE_AVG("&amp;INDEX(MO_SNA_FPStartDate,0,COLUMN())&amp;","&amp;INDEX(MO_Common_QEndDate,0,COLUMN())&amp;",,,,0)")),"N/A")</f>
        <v>N/A</v>
      </c>
      <c r="BR691" s="636" t="str">
        <f ca="1">IFERROR(IF(INDEX(MO_Common_QEndDate,0,COLUMN())&gt;TODAY(),_xll.FDS(MO.ReportCurrency&amp;HP.TradeCurrency,"FG_PRICE(NOW)"),_xll.FDS(MO.ReportCurrency&amp;HP.TradeCurrency,"P_PRICE_AVG("&amp;INDEX(MO_SNA_FPStartDate,0,COLUMN())&amp;","&amp;INDEX(MO_Common_QEndDate,0,COLUMN())&amp;",,,,0)")),"N/A")</f>
        <v>N/A</v>
      </c>
      <c r="BS691" s="372"/>
    </row>
    <row r="692" spans="1:71" s="691" customFormat="1" ht="15" hidden="1" outlineLevel="1">
      <c r="A692" s="262" t="s">
        <v>513</v>
      </c>
      <c r="B692" s="435"/>
      <c r="C692" s="633" t="str">
        <f t="shared" si="1400" ref="C692:AK692">"N/A"</f>
        <v>N/A</v>
      </c>
      <c r="D692" s="633" t="str">
        <f t="shared" si="1400"/>
        <v>N/A</v>
      </c>
      <c r="E692" s="634" t="str">
        <f t="shared" si="1400"/>
        <v>N/A</v>
      </c>
      <c r="F692" s="634" t="str">
        <f t="shared" si="1400"/>
        <v>N/A</v>
      </c>
      <c r="G692" s="634" t="str">
        <f t="shared" si="1400"/>
        <v>N/A</v>
      </c>
      <c r="H692" s="634" t="str">
        <f t="shared" si="1400"/>
        <v>N/A</v>
      </c>
      <c r="I692" s="634" t="str">
        <f t="shared" si="1400"/>
        <v>N/A</v>
      </c>
      <c r="J692" s="634" t="str">
        <f t="shared" si="1400"/>
        <v>N/A</v>
      </c>
      <c r="K692" s="634" t="str">
        <f t="shared" si="1400"/>
        <v>N/A</v>
      </c>
      <c r="L692" s="634" t="str">
        <f t="shared" si="1400"/>
        <v>N/A</v>
      </c>
      <c r="M692" s="634" t="str">
        <f t="shared" si="1400"/>
        <v>N/A</v>
      </c>
      <c r="N692" s="634" t="str">
        <f t="shared" si="1400"/>
        <v>N/A</v>
      </c>
      <c r="O692" s="634" t="str">
        <f t="shared" si="1400"/>
        <v>N/A</v>
      </c>
      <c r="P692" s="634" t="str">
        <f t="shared" si="1400"/>
        <v>N/A</v>
      </c>
      <c r="Q692" s="634" t="str">
        <f t="shared" si="1400"/>
        <v>N/A</v>
      </c>
      <c r="R692" s="634" t="str">
        <f t="shared" si="1400"/>
        <v>N/A</v>
      </c>
      <c r="S692" s="634" t="str">
        <f t="shared" si="1400"/>
        <v>N/A</v>
      </c>
      <c r="T692" s="634" t="str">
        <f t="shared" si="1400"/>
        <v>N/A</v>
      </c>
      <c r="U692" s="634" t="str">
        <f t="shared" si="1400"/>
        <v>N/A</v>
      </c>
      <c r="V692" s="634" t="str">
        <f t="shared" si="1400"/>
        <v>N/A</v>
      </c>
      <c r="W692" s="634" t="str">
        <f t="shared" si="1400"/>
        <v>N/A</v>
      </c>
      <c r="X692" s="634" t="str">
        <f t="shared" si="1400"/>
        <v>N/A</v>
      </c>
      <c r="Y692" s="634" t="str">
        <f t="shared" si="1400"/>
        <v>N/A</v>
      </c>
      <c r="Z692" s="634" t="str">
        <f t="shared" si="1400"/>
        <v>N/A</v>
      </c>
      <c r="AA692" s="634" t="str">
        <f t="shared" si="1400"/>
        <v>N/A</v>
      </c>
      <c r="AB692" s="634" t="str">
        <f t="shared" si="1400"/>
        <v>N/A</v>
      </c>
      <c r="AC692" s="634" t="str">
        <f t="shared" si="1400"/>
        <v>N/A</v>
      </c>
      <c r="AD692" s="634" t="str">
        <f t="shared" si="1400"/>
        <v>N/A</v>
      </c>
      <c r="AE692" s="634" t="str">
        <f t="shared" si="1400"/>
        <v>N/A</v>
      </c>
      <c r="AF692" s="634" t="str">
        <f t="shared" si="1400"/>
        <v>N/A</v>
      </c>
      <c r="AG692" s="634" t="str">
        <f t="shared" si="1400"/>
        <v>N/A</v>
      </c>
      <c r="AH692" s="634" t="str">
        <f t="shared" si="1400"/>
        <v>N/A</v>
      </c>
      <c r="AI692" s="634" t="str">
        <f t="shared" si="1400"/>
        <v>N/A</v>
      </c>
      <c r="AJ692" s="634" t="str">
        <f t="shared" si="1400"/>
        <v>N/A</v>
      </c>
      <c r="AK692" s="634" t="str">
        <f t="shared" si="1400"/>
        <v>N/A</v>
      </c>
      <c r="AL692" s="634" t="str">
        <f t="shared" si="1401" ref="AL692:AQ692">"N/A"</f>
        <v>N/A</v>
      </c>
      <c r="AM692" s="634" t="str">
        <f t="shared" si="1401"/>
        <v>N/A</v>
      </c>
      <c r="AN692" s="634" t="str">
        <f t="shared" si="1401"/>
        <v>N/A</v>
      </c>
      <c r="AO692" s="634" t="str">
        <f t="shared" si="1401"/>
        <v>N/A</v>
      </c>
      <c r="AP692" s="634" t="str">
        <f t="shared" si="1401"/>
        <v>N/A</v>
      </c>
      <c r="AQ692" s="634" t="str">
        <f t="shared" si="1401"/>
        <v>N/A</v>
      </c>
      <c r="AR692" s="634" t="str">
        <f t="shared" si="1402" ref="AR692:AW692">"N/A"</f>
        <v>N/A</v>
      </c>
      <c r="AS692" s="634" t="str">
        <f t="shared" si="1402"/>
        <v>N/A</v>
      </c>
      <c r="AT692" s="634" t="str">
        <f t="shared" si="1402"/>
        <v>N/A</v>
      </c>
      <c r="AU692" s="634" t="str">
        <f t="shared" si="1402"/>
        <v>N/A</v>
      </c>
      <c r="AV692" s="634" t="str">
        <f t="shared" si="1402"/>
        <v>N/A</v>
      </c>
      <c r="AW692" s="634" t="str">
        <f t="shared" si="1402"/>
        <v>N/A</v>
      </c>
      <c r="AX692" s="634" t="str">
        <f t="shared" si="1403" ref="AX692:BJ692">"N/A"</f>
        <v>N/A</v>
      </c>
      <c r="AY692" s="634" t="str">
        <f t="shared" si="1403"/>
        <v>N/A</v>
      </c>
      <c r="AZ692" s="634" t="str">
        <f t="shared" si="1403"/>
        <v>N/A</v>
      </c>
      <c r="BA692" s="634" t="str">
        <f t="shared" si="1404" ref="BA692:BI692">"N/A"</f>
        <v>N/A</v>
      </c>
      <c r="BB692" s="634" t="str">
        <f t="shared" si="1404"/>
        <v>N/A</v>
      </c>
      <c r="BC692" s="634" t="str">
        <f t="shared" si="1404"/>
        <v>N/A</v>
      </c>
      <c r="BD692" s="634" t="str">
        <f t="shared" si="1404"/>
        <v>N/A</v>
      </c>
      <c r="BE692" s="634" t="str">
        <f t="shared" si="1404"/>
        <v>N/A</v>
      </c>
      <c r="BF692" s="634" t="str">
        <f>"N/A"</f>
        <v>N/A</v>
      </c>
      <c r="BG692" s="634" t="str">
        <f>"N/A"</f>
        <v>N/A</v>
      </c>
      <c r="BH692" s="635" t="str">
        <f>"N/A"</f>
        <v>N/A</v>
      </c>
      <c r="BI692" s="435" t="str">
        <f t="shared" si="1404"/>
        <v>N/A</v>
      </c>
      <c r="BJ692" s="435" t="str">
        <f t="shared" si="1403"/>
        <v>N/A</v>
      </c>
      <c r="BK692" s="435" t="str">
        <f t="shared" si="1405" ref="BK692:BR692">"N/A"</f>
        <v>N/A</v>
      </c>
      <c r="BL692" s="435" t="str">
        <f t="shared" si="1405"/>
        <v>N/A</v>
      </c>
      <c r="BM692" s="435" t="str">
        <f t="shared" si="1405"/>
        <v>N/A</v>
      </c>
      <c r="BN692" s="435" t="str">
        <f t="shared" si="1405"/>
        <v>N/A</v>
      </c>
      <c r="BO692" s="435" t="str">
        <f t="shared" si="1405"/>
        <v>N/A</v>
      </c>
      <c r="BP692" s="634" t="str">
        <f t="shared" si="1405"/>
        <v>N/A</v>
      </c>
      <c r="BQ692" s="634" t="str">
        <f t="shared" si="1405"/>
        <v>N/A</v>
      </c>
      <c r="BR692" s="636" t="str">
        <f t="shared" si="1405"/>
        <v>N/A</v>
      </c>
      <c r="BS692" s="372"/>
    </row>
    <row r="693" spans="1:71" s="692" customFormat="1" ht="15" hidden="1" outlineLevel="1" collapsed="1">
      <c r="A693" s="245"/>
      <c r="B693" s="952"/>
      <c r="C693" s="437"/>
      <c r="D693" s="437"/>
      <c r="E693" s="952"/>
      <c r="F693" s="952"/>
      <c r="G693" s="952"/>
      <c r="H693" s="952"/>
      <c r="I693" s="952"/>
      <c r="J693" s="952"/>
      <c r="K693" s="952"/>
      <c r="L693" s="952"/>
      <c r="M693" s="952"/>
      <c r="N693" s="952"/>
      <c r="O693" s="952"/>
      <c r="P693" s="952"/>
      <c r="Q693" s="952"/>
      <c r="R693" s="952"/>
      <c r="S693" s="952"/>
      <c r="T693" s="952"/>
      <c r="U693" s="952"/>
      <c r="V693" s="952"/>
      <c r="W693" s="952"/>
      <c r="X693" s="952"/>
      <c r="Y693" s="952"/>
      <c r="Z693" s="952"/>
      <c r="AA693" s="952"/>
      <c r="AB693" s="952"/>
      <c r="AC693" s="952"/>
      <c r="AD693" s="952"/>
      <c r="AE693" s="952"/>
      <c r="AF693" s="952"/>
      <c r="AG693" s="952"/>
      <c r="AH693" s="952"/>
      <c r="AI693" s="952"/>
      <c r="AJ693" s="952"/>
      <c r="AK693" s="952"/>
      <c r="AL693" s="952"/>
      <c r="AM693" s="952"/>
      <c r="AN693" s="952"/>
      <c r="AO693" s="952"/>
      <c r="AP693" s="952"/>
      <c r="AQ693" s="952"/>
      <c r="AR693" s="952"/>
      <c r="AS693" s="952"/>
      <c r="AT693" s="952"/>
      <c r="AU693" s="952"/>
      <c r="AV693" s="952"/>
      <c r="AW693" s="952"/>
      <c r="AX693" s="952"/>
      <c r="AY693" s="952"/>
      <c r="AZ693" s="952"/>
      <c r="BA693" s="952"/>
      <c r="BB693" s="952"/>
      <c r="BC693" s="952"/>
      <c r="BD693" s="952"/>
      <c r="BE693" s="952"/>
      <c r="BF693" s="952"/>
      <c r="BG693" s="952"/>
      <c r="BH693" s="953"/>
      <c r="BI693" s="952"/>
      <c r="BJ693" s="952"/>
      <c r="BK693" s="952"/>
      <c r="BL693" s="952"/>
      <c r="BM693" s="952"/>
      <c r="BN693" s="952"/>
      <c r="BO693" s="952"/>
      <c r="BP693" s="952"/>
      <c r="BQ693" s="952"/>
      <c r="BR693" s="244"/>
      <c r="BS693" s="366"/>
    </row>
    <row r="694" spans="1:71" s="692" customFormat="1" ht="15" collapsed="1">
      <c r="A694" s="245" t="s">
        <v>563</v>
      </c>
      <c r="B694" s="952"/>
      <c r="C694" s="626">
        <f t="shared" si="1406" ref="C694:AH694">WORKDAY(INDEX(MO_Common_QEndDate,0,COLUMN()),-1)</f>
        <v>40177</v>
      </c>
      <c r="D694" s="626">
        <f t="shared" si="1406"/>
        <v>40542</v>
      </c>
      <c r="E694" s="627">
        <f t="shared" si="1406"/>
        <v>40907</v>
      </c>
      <c r="F694" s="627">
        <f t="shared" si="1406"/>
        <v>41271</v>
      </c>
      <c r="G694" s="627">
        <f t="shared" si="1406"/>
        <v>41638</v>
      </c>
      <c r="H694" s="627">
        <f t="shared" si="1406"/>
        <v>41726</v>
      </c>
      <c r="I694" s="627">
        <f t="shared" si="1406"/>
        <v>41817</v>
      </c>
      <c r="J694" s="627">
        <f t="shared" si="1406"/>
        <v>41911</v>
      </c>
      <c r="K694" s="627">
        <f t="shared" si="1406"/>
        <v>42003</v>
      </c>
      <c r="L694" s="627">
        <f t="shared" si="1406"/>
        <v>42003</v>
      </c>
      <c r="M694" s="627">
        <f t="shared" si="1406"/>
        <v>42093</v>
      </c>
      <c r="N694" s="627">
        <f t="shared" si="1406"/>
        <v>42184</v>
      </c>
      <c r="O694" s="627">
        <f t="shared" si="1406"/>
        <v>42276</v>
      </c>
      <c r="P694" s="627">
        <f t="shared" si="1406"/>
        <v>42368</v>
      </c>
      <c r="Q694" s="627">
        <f t="shared" si="1406"/>
        <v>42368</v>
      </c>
      <c r="R694" s="627">
        <f t="shared" si="1406"/>
        <v>42459</v>
      </c>
      <c r="S694" s="627">
        <f t="shared" si="1406"/>
        <v>42550</v>
      </c>
      <c r="T694" s="627">
        <f t="shared" si="1406"/>
        <v>42642</v>
      </c>
      <c r="U694" s="627">
        <f t="shared" si="1406"/>
        <v>42734</v>
      </c>
      <c r="V694" s="627">
        <f t="shared" si="1406"/>
        <v>42734</v>
      </c>
      <c r="W694" s="627">
        <f t="shared" si="1406"/>
        <v>42824</v>
      </c>
      <c r="X694" s="627">
        <f t="shared" si="1406"/>
        <v>42915</v>
      </c>
      <c r="Y694" s="627">
        <f t="shared" si="1406"/>
        <v>43007</v>
      </c>
      <c r="Z694" s="627">
        <f t="shared" si="1406"/>
        <v>43098</v>
      </c>
      <c r="AA694" s="627">
        <f t="shared" si="1406"/>
        <v>43098</v>
      </c>
      <c r="AB694" s="627">
        <f t="shared" si="1406"/>
        <v>43189</v>
      </c>
      <c r="AC694" s="627">
        <f t="shared" si="1406"/>
        <v>43280</v>
      </c>
      <c r="AD694" s="627">
        <f t="shared" si="1406"/>
        <v>43371</v>
      </c>
      <c r="AE694" s="627">
        <f t="shared" si="1406"/>
        <v>43462</v>
      </c>
      <c r="AF694" s="627">
        <f t="shared" si="1406"/>
        <v>43462</v>
      </c>
      <c r="AG694" s="627">
        <f t="shared" si="1406"/>
        <v>43553</v>
      </c>
      <c r="AH694" s="627">
        <f t="shared" si="1406"/>
        <v>43644</v>
      </c>
      <c r="AI694" s="627">
        <f t="shared" si="1407" ref="AI694:AV694">WORKDAY(INDEX(MO_Common_QEndDate,0,COLUMN()),-1)</f>
        <v>43735</v>
      </c>
      <c r="AJ694" s="627">
        <f t="shared" si="1407"/>
        <v>43829</v>
      </c>
      <c r="AK694" s="627">
        <f t="shared" si="1407"/>
        <v>43829</v>
      </c>
      <c r="AL694" s="627">
        <f t="shared" si="1407"/>
        <v>43920</v>
      </c>
      <c r="AM694" s="627">
        <f t="shared" si="1407"/>
        <v>44011</v>
      </c>
      <c r="AN694" s="627">
        <f t="shared" si="1407"/>
        <v>44103</v>
      </c>
      <c r="AO694" s="627">
        <f t="shared" si="1407"/>
        <v>44195</v>
      </c>
      <c r="AP694" s="627">
        <f t="shared" si="1407"/>
        <v>44195</v>
      </c>
      <c r="AQ694" s="627">
        <f t="shared" si="1407"/>
        <v>44285</v>
      </c>
      <c r="AR694" s="627">
        <f t="shared" si="1407"/>
        <v>44376</v>
      </c>
      <c r="AS694" s="627">
        <f t="shared" si="1407"/>
        <v>44468</v>
      </c>
      <c r="AT694" s="627">
        <f t="shared" si="1407"/>
        <v>44560</v>
      </c>
      <c r="AU694" s="627">
        <f t="shared" si="1407"/>
        <v>44560</v>
      </c>
      <c r="AV694" s="627">
        <f t="shared" si="1407"/>
        <v>44650</v>
      </c>
      <c r="AW694" s="627">
        <f t="shared" si="1408" ref="AW694:AZ694">WORKDAY(INDEX(MO_Common_QEndDate,0,COLUMN()),-1)</f>
        <v>44741</v>
      </c>
      <c r="AX694" s="627">
        <f t="shared" si="1408"/>
        <v>44833</v>
      </c>
      <c r="AY694" s="627">
        <f t="shared" si="1408"/>
        <v>44925</v>
      </c>
      <c r="AZ694" s="627">
        <f t="shared" si="1408"/>
        <v>44925</v>
      </c>
      <c r="BA694" s="627">
        <f t="shared" si="1409" ref="BA694:BR694">WORKDAY(INDEX(MO_Common_QEndDate,0,COLUMN()),-1)</f>
        <v>45015</v>
      </c>
      <c r="BB694" s="627">
        <f t="shared" si="1409"/>
        <v>45106</v>
      </c>
      <c r="BC694" s="627">
        <f t="shared" si="1409"/>
        <v>45198</v>
      </c>
      <c r="BD694" s="627">
        <f t="shared" si="1409"/>
        <v>45289</v>
      </c>
      <c r="BE694" s="627">
        <f t="shared" si="1409"/>
        <v>45289</v>
      </c>
      <c r="BF694" s="627">
        <f>WORKDAY(INDEX(MO_Common_QEndDate,0,COLUMN()),-1)</f>
        <v>45380</v>
      </c>
      <c r="BG694" s="627">
        <f>WORKDAY(INDEX(MO_Common_QEndDate,0,COLUMN()),-1)</f>
        <v>45471</v>
      </c>
      <c r="BH694" s="628">
        <f>WORKDAY(INDEX(MO_Common_QEndDate,0,COLUMN()),-1)</f>
        <v>45562</v>
      </c>
      <c r="BI694" s="627">
        <f t="shared" si="1409"/>
        <v>45656</v>
      </c>
      <c r="BJ694" s="627">
        <f t="shared" si="1409"/>
        <v>45656</v>
      </c>
      <c r="BK694" s="627">
        <f t="shared" si="1409"/>
        <v>45744</v>
      </c>
      <c r="BL694" s="627">
        <f t="shared" si="1409"/>
        <v>45835</v>
      </c>
      <c r="BM694" s="627">
        <f t="shared" si="1409"/>
        <v>45929</v>
      </c>
      <c r="BN694" s="627">
        <f t="shared" si="1409"/>
        <v>46021</v>
      </c>
      <c r="BO694" s="627">
        <f t="shared" si="1409"/>
        <v>46021</v>
      </c>
      <c r="BP694" s="627">
        <f t="shared" si="1409"/>
        <v>46386</v>
      </c>
      <c r="BQ694" s="627">
        <f t="shared" si="1409"/>
        <v>46751</v>
      </c>
      <c r="BR694" s="629">
        <f t="shared" si="1409"/>
        <v>47116</v>
      </c>
      <c r="BS694" s="366"/>
    </row>
    <row r="695" spans="1:71" s="692" customFormat="1" ht="15" collapsed="1">
      <c r="A695" s="245" t="s">
        <v>564</v>
      </c>
      <c r="B695" s="952"/>
      <c r="C695" s="1103">
        <v>25.24</v>
      </c>
      <c r="D695" s="1103">
        <v>32.380000000000003</v>
      </c>
      <c r="E695" s="1104">
        <v>36.89</v>
      </c>
      <c r="F695" s="1104">
        <v>39.18</v>
      </c>
      <c r="G695" s="1104">
        <v>57.17</v>
      </c>
      <c r="H695" s="1104">
        <v>57.02</v>
      </c>
      <c r="I695" s="1104">
        <v>59.10</v>
      </c>
      <c r="J695" s="1104">
        <v>58.44</v>
      </c>
      <c r="K695" s="1104">
        <v>61.39</v>
      </c>
      <c r="L695" s="1104">
        <v>61.39</v>
      </c>
      <c r="M695" s="1104">
        <v>64.489999999999995</v>
      </c>
      <c r="N695" s="1104">
        <v>64.870000000000005</v>
      </c>
      <c r="O695" s="1104">
        <v>68.739999999999995</v>
      </c>
      <c r="P695" s="1104">
        <v>73.09</v>
      </c>
      <c r="Q695" s="1104">
        <v>73.09</v>
      </c>
      <c r="R695" s="1104">
        <v>71.120000000000005</v>
      </c>
      <c r="S695" s="1104">
        <v>72.02</v>
      </c>
      <c r="T695" s="1104">
        <v>74.53</v>
      </c>
      <c r="U695" s="1104">
        <v>88.12</v>
      </c>
      <c r="V695" s="1104">
        <v>88.12</v>
      </c>
      <c r="W695" s="1104">
        <v>95.42</v>
      </c>
      <c r="X695" s="1104">
        <v>99.51</v>
      </c>
      <c r="Y695" s="1104">
        <v>103.45</v>
      </c>
      <c r="Z695" s="1104">
        <v>108.54000000000001</v>
      </c>
      <c r="AA695" s="1104">
        <v>108.54000000000001</v>
      </c>
      <c r="AB695" s="1104">
        <v>112.22</v>
      </c>
      <c r="AC695" s="1104">
        <v>107.33</v>
      </c>
      <c r="AD695" s="1104">
        <v>110.97</v>
      </c>
      <c r="AE695" s="1104">
        <v>89.38</v>
      </c>
      <c r="AF695" s="1104">
        <v>89.38</v>
      </c>
      <c r="AG695" s="1104">
        <v>96.21</v>
      </c>
      <c r="AH695" s="1104">
        <v>102.47</v>
      </c>
      <c r="AI695" s="1104">
        <v>106.98999999999999</v>
      </c>
      <c r="AJ695" s="1104">
        <v>109.45999999999999</v>
      </c>
      <c r="AK695" s="1104">
        <v>109.45999999999999</v>
      </c>
      <c r="AL695" s="1104">
        <v>71.56</v>
      </c>
      <c r="AM695" s="1104">
        <v>61.34</v>
      </c>
      <c r="AN695" s="1104">
        <v>66.150000000000006</v>
      </c>
      <c r="AO695" s="1104">
        <v>87.37</v>
      </c>
      <c r="AP695" s="1104">
        <v>87.37</v>
      </c>
      <c r="AQ695" s="1104">
        <v>116.39</v>
      </c>
      <c r="AR695" s="1104">
        <v>123.33</v>
      </c>
      <c r="AS695" s="1104">
        <v>126.98</v>
      </c>
      <c r="AT695" s="1104">
        <v>136.83000000000001</v>
      </c>
      <c r="AU695" s="1104">
        <v>136.83000000000001</v>
      </c>
      <c r="AV695" s="1104">
        <v>147.72</v>
      </c>
      <c r="AW695" s="1104">
        <v>135.91999999999999</v>
      </c>
      <c r="AX695" s="1104">
        <v>123.26000000000001</v>
      </c>
      <c r="AY695" s="1104">
        <v>137.28</v>
      </c>
      <c r="AZ695" s="1104">
        <v>137.28</v>
      </c>
      <c r="BA695" s="1104">
        <v>119.72</v>
      </c>
      <c r="BB695" s="1104">
        <v>117.92</v>
      </c>
      <c r="BC695" s="1104">
        <v>111.67</v>
      </c>
      <c r="BD695" s="1104">
        <v>118.89</v>
      </c>
      <c r="BE695" s="1104">
        <v>118.89</v>
      </c>
      <c r="BF695" s="1104">
        <v>136.47999999999999</v>
      </c>
      <c r="BG695" s="1104">
        <v>123.02</v>
      </c>
      <c r="BH695" s="1105">
        <v>131.31407100000001</v>
      </c>
      <c r="BI695" s="631"/>
      <c r="BJ695" s="631"/>
      <c r="BK695" s="631"/>
      <c r="BL695" s="631"/>
      <c r="BM695" s="631"/>
      <c r="BN695" s="631"/>
      <c r="BO695" s="631"/>
      <c r="BP695" s="631"/>
      <c r="BQ695" s="631"/>
      <c r="BR695" s="632"/>
      <c r="BS695" s="366"/>
    </row>
    <row r="696" spans="1:71" s="692" customFormat="1" ht="15" collapsed="1">
      <c r="A696" s="245" t="s">
        <v>565</v>
      </c>
      <c r="B696" s="952"/>
      <c r="C696" s="1100">
        <v>1</v>
      </c>
      <c r="D696" s="1100">
        <v>1</v>
      </c>
      <c r="E696" s="1101">
        <v>1</v>
      </c>
      <c r="F696" s="1101">
        <v>1</v>
      </c>
      <c r="G696" s="1101">
        <v>1</v>
      </c>
      <c r="H696" s="1101">
        <v>1</v>
      </c>
      <c r="I696" s="1101">
        <v>1</v>
      </c>
      <c r="J696" s="1101">
        <v>1</v>
      </c>
      <c r="K696" s="1101">
        <v>1</v>
      </c>
      <c r="L696" s="1101">
        <v>1</v>
      </c>
      <c r="M696" s="1101">
        <v>1</v>
      </c>
      <c r="N696" s="1101">
        <v>1</v>
      </c>
      <c r="O696" s="1101">
        <v>1</v>
      </c>
      <c r="P696" s="1101">
        <v>1</v>
      </c>
      <c r="Q696" s="1101">
        <v>1</v>
      </c>
      <c r="R696" s="1101">
        <v>1</v>
      </c>
      <c r="S696" s="1101">
        <v>1</v>
      </c>
      <c r="T696" s="1101">
        <v>1</v>
      </c>
      <c r="U696" s="1101">
        <v>1</v>
      </c>
      <c r="V696" s="1101">
        <v>1</v>
      </c>
      <c r="W696" s="1101">
        <v>1</v>
      </c>
      <c r="X696" s="1101">
        <v>1</v>
      </c>
      <c r="Y696" s="1101">
        <v>1</v>
      </c>
      <c r="Z696" s="1101">
        <v>1</v>
      </c>
      <c r="AA696" s="1101">
        <v>1</v>
      </c>
      <c r="AB696" s="1101">
        <v>1</v>
      </c>
      <c r="AC696" s="1101">
        <v>1</v>
      </c>
      <c r="AD696" s="1101">
        <v>1</v>
      </c>
      <c r="AE696" s="1101">
        <v>1</v>
      </c>
      <c r="AF696" s="1101">
        <v>1</v>
      </c>
      <c r="AG696" s="1101">
        <v>1</v>
      </c>
      <c r="AH696" s="1101">
        <v>1</v>
      </c>
      <c r="AI696" s="1101">
        <v>1</v>
      </c>
      <c r="AJ696" s="1101">
        <v>1</v>
      </c>
      <c r="AK696" s="1101">
        <v>1</v>
      </c>
      <c r="AL696" s="1101">
        <v>1</v>
      </c>
      <c r="AM696" s="1101">
        <v>1</v>
      </c>
      <c r="AN696" s="1101">
        <v>1</v>
      </c>
      <c r="AO696" s="1101">
        <v>1</v>
      </c>
      <c r="AP696" s="1101">
        <v>1</v>
      </c>
      <c r="AQ696" s="1101">
        <v>1</v>
      </c>
      <c r="AR696" s="1101">
        <v>1</v>
      </c>
      <c r="AS696" s="1101">
        <v>1</v>
      </c>
      <c r="AT696" s="1101">
        <v>1</v>
      </c>
      <c r="AU696" s="1101">
        <v>1</v>
      </c>
      <c r="AV696" s="1101">
        <v>1</v>
      </c>
      <c r="AW696" s="1101">
        <v>1</v>
      </c>
      <c r="AX696" s="1101">
        <v>1</v>
      </c>
      <c r="AY696" s="1101">
        <v>1</v>
      </c>
      <c r="AZ696" s="1101">
        <v>1</v>
      </c>
      <c r="BA696" s="1101">
        <v>1</v>
      </c>
      <c r="BB696" s="1101">
        <v>1</v>
      </c>
      <c r="BC696" s="1101">
        <v>1</v>
      </c>
      <c r="BD696" s="1101">
        <v>1</v>
      </c>
      <c r="BE696" s="1101">
        <v>1</v>
      </c>
      <c r="BF696" s="1101">
        <v>1</v>
      </c>
      <c r="BG696" s="1101">
        <v>1</v>
      </c>
      <c r="BH696" s="1102">
        <v>1</v>
      </c>
      <c r="BI696" s="634"/>
      <c r="BJ696" s="634"/>
      <c r="BK696" s="634"/>
      <c r="BL696" s="634"/>
      <c r="BM696" s="634"/>
      <c r="BN696" s="634"/>
      <c r="BO696" s="634"/>
      <c r="BP696" s="634"/>
      <c r="BQ696" s="634"/>
      <c r="BR696" s="636"/>
      <c r="BS696" s="366"/>
    </row>
    <row r="697" spans="1:71" s="692" customFormat="1" ht="15" collapsed="1">
      <c r="A697" s="637"/>
      <c r="B697" s="381"/>
      <c r="C697" s="638"/>
      <c r="D697" s="638"/>
      <c r="E697" s="639"/>
      <c r="F697" s="639"/>
      <c r="G697" s="639"/>
      <c r="H697" s="639"/>
      <c r="I697" s="639"/>
      <c r="J697" s="639"/>
      <c r="K697" s="639"/>
      <c r="L697" s="639"/>
      <c r="M697" s="639"/>
      <c r="N697" s="639"/>
      <c r="O697" s="639"/>
      <c r="P697" s="639"/>
      <c r="Q697" s="639"/>
      <c r="R697" s="639"/>
      <c r="S697" s="639"/>
      <c r="T697" s="639"/>
      <c r="U697" s="639"/>
      <c r="V697" s="639"/>
      <c r="W697" s="639"/>
      <c r="X697" s="639"/>
      <c r="Y697" s="639"/>
      <c r="Z697" s="639"/>
      <c r="AA697" s="639"/>
      <c r="AB697" s="639"/>
      <c r="AC697" s="639"/>
      <c r="AD697" s="639"/>
      <c r="AE697" s="639"/>
      <c r="AF697" s="639"/>
      <c r="AG697" s="639"/>
      <c r="AH697" s="639"/>
      <c r="AI697" s="639"/>
      <c r="AJ697" s="639"/>
      <c r="AK697" s="639"/>
      <c r="AL697" s="639"/>
      <c r="AM697" s="639"/>
      <c r="AN697" s="639"/>
      <c r="AO697" s="639"/>
      <c r="AP697" s="639"/>
      <c r="AQ697" s="639"/>
      <c r="AR697" s="639"/>
      <c r="AS697" s="639"/>
      <c r="AT697" s="639"/>
      <c r="AU697" s="639"/>
      <c r="AV697" s="639"/>
      <c r="AW697" s="639"/>
      <c r="AX697" s="639"/>
      <c r="AY697" s="639"/>
      <c r="AZ697" s="639"/>
      <c r="BA697" s="639"/>
      <c r="BB697" s="639"/>
      <c r="BC697" s="639"/>
      <c r="BD697" s="639"/>
      <c r="BE697" s="639"/>
      <c r="BF697" s="639"/>
      <c r="BG697" s="639"/>
      <c r="BH697" s="640"/>
      <c r="BI697" s="639"/>
      <c r="BJ697" s="639"/>
      <c r="BK697" s="639"/>
      <c r="BL697" s="639"/>
      <c r="BM697" s="639"/>
      <c r="BN697" s="639"/>
      <c r="BO697" s="639"/>
      <c r="BP697" s="639"/>
      <c r="BQ697" s="639"/>
      <c r="BR697" s="641"/>
      <c r="BS697" s="366"/>
    </row>
    <row r="698" spans="1:71" ht="15">
      <c r="A698" s="557"/>
      <c r="B698" s="557"/>
      <c r="C698" s="558"/>
      <c r="D698" s="558"/>
      <c r="E698" s="558"/>
      <c r="F698" s="558"/>
      <c r="G698" s="558"/>
      <c r="H698" s="558"/>
      <c r="I698" s="558"/>
      <c r="J698" s="558"/>
      <c r="K698" s="558"/>
      <c r="L698" s="558"/>
      <c r="M698" s="558"/>
      <c r="N698" s="558"/>
      <c r="O698" s="558"/>
      <c r="P698" s="558"/>
      <c r="Q698" s="558"/>
      <c r="R698" s="558"/>
      <c r="S698" s="558"/>
      <c r="T698" s="558"/>
      <c r="U698" s="558"/>
      <c r="V698" s="558"/>
      <c r="W698" s="558"/>
      <c r="X698" s="558"/>
      <c r="Y698" s="558"/>
      <c r="Z698" s="558"/>
      <c r="AA698" s="558"/>
      <c r="AB698" s="558"/>
      <c r="AC698" s="558"/>
      <c r="AD698" s="558"/>
      <c r="AE698" s="558"/>
      <c r="AF698" s="558"/>
      <c r="AG698" s="558"/>
      <c r="AH698" s="558"/>
      <c r="AI698" s="558"/>
      <c r="AJ698" s="558"/>
      <c r="AK698" s="558"/>
      <c r="AL698" s="558"/>
      <c r="AM698" s="558"/>
      <c r="AN698" s="558"/>
      <c r="AO698" s="558"/>
      <c r="AP698" s="558"/>
      <c r="AQ698" s="558"/>
      <c r="AR698" s="558"/>
      <c r="AS698" s="558"/>
      <c r="AT698" s="558"/>
      <c r="AU698" s="558"/>
      <c r="AV698" s="558"/>
      <c r="AW698" s="558"/>
      <c r="AX698" s="558"/>
      <c r="AY698" s="558"/>
      <c r="AZ698" s="558"/>
      <c r="BA698" s="558"/>
      <c r="BB698" s="558"/>
      <c r="BC698" s="558"/>
      <c r="BD698" s="558"/>
      <c r="BE698" s="558"/>
      <c r="BF698" s="558"/>
      <c r="BG698" s="558"/>
      <c r="BH698" s="559"/>
      <c r="BI698" s="558"/>
      <c r="BJ698" s="558"/>
      <c r="BK698" s="558"/>
      <c r="BL698" s="558"/>
      <c r="BM698" s="558"/>
      <c r="BN698" s="558"/>
      <c r="BO698" s="558"/>
      <c r="BP698" s="558"/>
      <c r="BQ698" s="558"/>
      <c r="BR698" s="558"/>
      <c r="BS698" s="234"/>
    </row>
    <row r="699" spans="1:71" s="692" customFormat="1" ht="15">
      <c r="A699" s="232" t="s">
        <v>398</v>
      </c>
      <c r="B699" s="250"/>
      <c r="C699" s="952"/>
      <c r="D699" s="952"/>
      <c r="E699" s="952"/>
      <c r="F699" s="952"/>
      <c r="G699" s="952"/>
      <c r="H699" s="952"/>
      <c r="I699" s="952"/>
      <c r="J699" s="952"/>
      <c r="K699" s="952"/>
      <c r="L699" s="952"/>
      <c r="M699" s="952"/>
      <c r="N699" s="952"/>
      <c r="O699" s="952"/>
      <c r="P699" s="952"/>
      <c r="Q699" s="952"/>
      <c r="R699" s="952"/>
      <c r="S699" s="952"/>
      <c r="T699" s="952"/>
      <c r="U699" s="952"/>
      <c r="V699" s="952"/>
      <c r="W699" s="952"/>
      <c r="X699" s="952"/>
      <c r="Y699" s="952"/>
      <c r="Z699" s="952"/>
      <c r="AA699" s="952"/>
      <c r="AB699" s="952"/>
      <c r="AC699" s="952"/>
      <c r="AD699" s="952"/>
      <c r="AE699" s="952"/>
      <c r="AF699" s="952"/>
      <c r="AG699" s="952"/>
      <c r="AH699" s="952"/>
      <c r="AI699" s="952"/>
      <c r="AJ699" s="952"/>
      <c r="AK699" s="952"/>
      <c r="AL699" s="952"/>
      <c r="AM699" s="952"/>
      <c r="AN699" s="952"/>
      <c r="AO699" s="952"/>
      <c r="AP699" s="952"/>
      <c r="AQ699" s="952"/>
      <c r="AR699" s="952"/>
      <c r="AS699" s="952"/>
      <c r="AT699" s="952"/>
      <c r="AU699" s="952"/>
      <c r="AV699" s="952"/>
      <c r="AW699" s="952"/>
      <c r="AX699" s="952"/>
      <c r="AY699" s="952"/>
      <c r="AZ699" s="952"/>
      <c r="BA699" s="952"/>
      <c r="BB699" s="952"/>
      <c r="BC699" s="952"/>
      <c r="BD699" s="952"/>
      <c r="BE699" s="952"/>
      <c r="BF699" s="952"/>
      <c r="BG699" s="952"/>
      <c r="BH699" s="953"/>
      <c r="BI699" s="954"/>
      <c r="BJ699" s="954"/>
      <c r="BK699" s="954"/>
      <c r="BL699" s="954"/>
      <c r="BM699" s="954"/>
      <c r="BN699" s="954"/>
      <c r="BO699" s="954"/>
      <c r="BP699" s="952"/>
      <c r="BQ699" s="952"/>
      <c r="BR699" s="954"/>
      <c r="BS699" s="233"/>
    </row>
    <row r="700" spans="1:71" s="693" customFormat="1" ht="15">
      <c r="A700" s="235" t="s">
        <v>399</v>
      </c>
      <c r="B700" s="257">
        <f>FP.LastPrice</f>
        <v>142.03</v>
      </c>
      <c r="C700" s="289"/>
      <c r="D700" s="289"/>
      <c r="E700" s="289"/>
      <c r="F700" s="289"/>
      <c r="G700" s="289"/>
      <c r="H700" s="289"/>
      <c r="I700" s="289"/>
      <c r="J700" s="289"/>
      <c r="K700" s="289"/>
      <c r="L700" s="289"/>
      <c r="M700" s="289"/>
      <c r="N700" s="289"/>
      <c r="O700" s="289"/>
      <c r="P700" s="289"/>
      <c r="Q700" s="289"/>
      <c r="R700" s="289"/>
      <c r="S700" s="289"/>
      <c r="T700" s="289"/>
      <c r="U700" s="289"/>
      <c r="V700" s="289"/>
      <c r="W700" s="289"/>
      <c r="X700" s="289"/>
      <c r="Y700" s="289"/>
      <c r="Z700" s="289"/>
      <c r="AA700" s="289"/>
      <c r="AB700" s="289"/>
      <c r="AC700" s="289"/>
      <c r="AD700" s="289"/>
      <c r="AE700" s="289"/>
      <c r="AF700" s="289"/>
      <c r="AG700" s="289"/>
      <c r="AH700" s="289"/>
      <c r="AI700" s="289"/>
      <c r="AJ700" s="289"/>
      <c r="AK700" s="289"/>
      <c r="AL700" s="289"/>
      <c r="AM700" s="289"/>
      <c r="AN700" s="289"/>
      <c r="AO700" s="289"/>
      <c r="AP700" s="289"/>
      <c r="AQ700" s="289"/>
      <c r="AR700" s="289"/>
      <c r="AS700" s="289"/>
      <c r="AT700" s="289"/>
      <c r="AU700" s="289"/>
      <c r="AV700" s="289"/>
      <c r="AW700" s="289"/>
      <c r="AX700" s="289"/>
      <c r="AY700" s="289"/>
      <c r="AZ700" s="289"/>
      <c r="BA700" s="289"/>
      <c r="BB700" s="289"/>
      <c r="BC700" s="289"/>
      <c r="BD700" s="289"/>
      <c r="BE700" s="289"/>
      <c r="BF700" s="289"/>
      <c r="BG700" s="289"/>
      <c r="BH700" s="266"/>
      <c r="BI700" s="257"/>
      <c r="BJ700" s="257"/>
      <c r="BK700" s="257"/>
      <c r="BL700" s="257"/>
      <c r="BM700" s="257"/>
      <c r="BN700" s="257"/>
      <c r="BO700" s="257"/>
      <c r="BP700" s="289"/>
      <c r="BQ700" s="289"/>
      <c r="BR700" s="257"/>
      <c r="BS700" s="236"/>
    </row>
    <row r="701" spans="1:71" ht="15">
      <c r="A701" s="238" t="s">
        <v>400</v>
      </c>
      <c r="B701" s="600">
        <f>FP.LastPriceDate</f>
        <v>45629</v>
      </c>
      <c r="C701" s="466"/>
      <c r="D701" s="466"/>
      <c r="E701" s="466"/>
      <c r="F701" s="466"/>
      <c r="G701" s="466"/>
      <c r="H701" s="466"/>
      <c r="I701" s="466"/>
      <c r="J701" s="466"/>
      <c r="K701" s="466"/>
      <c r="L701" s="466"/>
      <c r="M701" s="466"/>
      <c r="N701" s="466"/>
      <c r="O701" s="466"/>
      <c r="P701" s="466"/>
      <c r="Q701" s="466"/>
      <c r="R701" s="466"/>
      <c r="S701" s="466"/>
      <c r="T701" s="466"/>
      <c r="U701" s="466"/>
      <c r="V701" s="466"/>
      <c r="W701" s="466"/>
      <c r="X701" s="466"/>
      <c r="Y701" s="466"/>
      <c r="Z701" s="466"/>
      <c r="AA701" s="466"/>
      <c r="AB701" s="466"/>
      <c r="AC701" s="466"/>
      <c r="AD701" s="466"/>
      <c r="AE701" s="466"/>
      <c r="AF701" s="466"/>
      <c r="AG701" s="466"/>
      <c r="AH701" s="466"/>
      <c r="AI701" s="466"/>
      <c r="AJ701" s="466"/>
      <c r="AK701" s="466"/>
      <c r="AL701" s="466"/>
      <c r="AM701" s="466"/>
      <c r="AN701" s="466"/>
      <c r="AO701" s="466"/>
      <c r="AP701" s="466"/>
      <c r="AQ701" s="466"/>
      <c r="AR701" s="466"/>
      <c r="AS701" s="466"/>
      <c r="AT701" s="466"/>
      <c r="AU701" s="466"/>
      <c r="AV701" s="466"/>
      <c r="AW701" s="466"/>
      <c r="AX701" s="466"/>
      <c r="AY701" s="466"/>
      <c r="AZ701" s="466"/>
      <c r="BA701" s="466"/>
      <c r="BB701" s="466"/>
      <c r="BC701" s="466"/>
      <c r="BD701" s="466"/>
      <c r="BE701" s="466"/>
      <c r="BF701" s="466"/>
      <c r="BG701" s="466"/>
      <c r="BH701" s="467"/>
      <c r="BI701" s="468"/>
      <c r="BJ701" s="468"/>
      <c r="BK701" s="468"/>
      <c r="BL701" s="468"/>
      <c r="BM701" s="468"/>
      <c r="BN701" s="468"/>
      <c r="BO701" s="468"/>
      <c r="BP701" s="466"/>
      <c r="BQ701" s="466"/>
      <c r="BR701" s="468"/>
      <c r="BS701" s="234"/>
    </row>
    <row r="702" spans="1:71" ht="15">
      <c r="A702" s="238" t="s">
        <v>401</v>
      </c>
      <c r="B702" s="234" t="b">
        <f>IF(FP.RealTimeToggle="ON",TRUE,FALSE)</f>
        <v>0</v>
      </c>
      <c r="C702" s="466"/>
      <c r="D702" s="466"/>
      <c r="E702" s="466"/>
      <c r="F702" s="466"/>
      <c r="G702" s="466"/>
      <c r="H702" s="466"/>
      <c r="I702" s="466"/>
      <c r="J702" s="466"/>
      <c r="K702" s="466"/>
      <c r="L702" s="466"/>
      <c r="M702" s="466"/>
      <c r="N702" s="466"/>
      <c r="O702" s="466"/>
      <c r="P702" s="466"/>
      <c r="Q702" s="466"/>
      <c r="R702" s="466"/>
      <c r="S702" s="466"/>
      <c r="T702" s="466"/>
      <c r="U702" s="466"/>
      <c r="V702" s="466"/>
      <c r="W702" s="466"/>
      <c r="X702" s="466"/>
      <c r="Y702" s="466"/>
      <c r="Z702" s="466"/>
      <c r="AA702" s="466"/>
      <c r="AB702" s="466"/>
      <c r="AC702" s="466"/>
      <c r="AD702" s="466"/>
      <c r="AE702" s="466"/>
      <c r="AF702" s="466"/>
      <c r="AG702" s="466"/>
      <c r="AH702" s="466"/>
      <c r="AI702" s="466"/>
      <c r="AJ702" s="466"/>
      <c r="AK702" s="466"/>
      <c r="AL702" s="466"/>
      <c r="AM702" s="466"/>
      <c r="AN702" s="466"/>
      <c r="AO702" s="466"/>
      <c r="AP702" s="466"/>
      <c r="AQ702" s="466"/>
      <c r="AR702" s="466"/>
      <c r="AS702" s="466"/>
      <c r="AT702" s="466"/>
      <c r="AU702" s="466"/>
      <c r="AV702" s="466"/>
      <c r="AW702" s="466"/>
      <c r="AX702" s="466"/>
      <c r="AY702" s="466"/>
      <c r="AZ702" s="466"/>
      <c r="BA702" s="466"/>
      <c r="BB702" s="466"/>
      <c r="BC702" s="466"/>
      <c r="BD702" s="466"/>
      <c r="BE702" s="466"/>
      <c r="BF702" s="466"/>
      <c r="BG702" s="466"/>
      <c r="BH702" s="467"/>
      <c r="BI702" s="468"/>
      <c r="BJ702" s="468"/>
      <c r="BK702" s="468"/>
      <c r="BL702" s="468"/>
      <c r="BM702" s="468"/>
      <c r="BN702" s="468"/>
      <c r="BO702" s="468"/>
      <c r="BP702" s="466"/>
      <c r="BQ702" s="466"/>
      <c r="BR702" s="468"/>
      <c r="BS702" s="234"/>
    </row>
    <row r="703" spans="1:71" s="693" customFormat="1" ht="15">
      <c r="A703" s="235" t="s">
        <v>402</v>
      </c>
      <c r="B703" s="236" t="str">
        <f ca="1">IFERROR(CHOOSE(MO.DataSourceIndex,_xll.BDP(MO.Ticker.Bloomberg&amp;" EQUITY","LAST_PRICE"),_xll.CIQ(MO.Ticker.CapIQ,"IQ_LASTSALEPRICE"),_xll.FDS(MO.Ticker.FactSet,"FG_PRICE(NOW)"),_xll.TR(MO.Ticker.Thomson,"TRDPRC_1")),"N/A")</f>
        <v>N/A</v>
      </c>
      <c r="C703" s="289"/>
      <c r="D703" s="289"/>
      <c r="E703" s="289"/>
      <c r="F703" s="289"/>
      <c r="G703" s="289"/>
      <c r="H703" s="289"/>
      <c r="I703" s="289"/>
      <c r="J703" s="289"/>
      <c r="K703" s="289"/>
      <c r="L703" s="289"/>
      <c r="M703" s="289"/>
      <c r="N703" s="289"/>
      <c r="O703" s="289"/>
      <c r="P703" s="289"/>
      <c r="Q703" s="289"/>
      <c r="R703" s="289"/>
      <c r="S703" s="289"/>
      <c r="T703" s="289"/>
      <c r="U703" s="289"/>
      <c r="V703" s="289"/>
      <c r="W703" s="289"/>
      <c r="X703" s="289"/>
      <c r="Y703" s="289"/>
      <c r="Z703" s="289"/>
      <c r="AA703" s="289"/>
      <c r="AB703" s="289"/>
      <c r="AC703" s="289"/>
      <c r="AD703" s="289"/>
      <c r="AE703" s="289"/>
      <c r="AF703" s="289"/>
      <c r="AG703" s="289"/>
      <c r="AH703" s="289"/>
      <c r="AI703" s="289"/>
      <c r="AJ703" s="289"/>
      <c r="AK703" s="289"/>
      <c r="AL703" s="289"/>
      <c r="AM703" s="289"/>
      <c r="AN703" s="289"/>
      <c r="AO703" s="289"/>
      <c r="AP703" s="289"/>
      <c r="AQ703" s="289"/>
      <c r="AR703" s="289"/>
      <c r="AS703" s="289"/>
      <c r="AT703" s="289"/>
      <c r="AU703" s="289"/>
      <c r="AV703" s="289"/>
      <c r="AW703" s="289"/>
      <c r="AX703" s="289"/>
      <c r="AY703" s="289"/>
      <c r="AZ703" s="289"/>
      <c r="BA703" s="289"/>
      <c r="BB703" s="289"/>
      <c r="BC703" s="289"/>
      <c r="BD703" s="289"/>
      <c r="BE703" s="289"/>
      <c r="BF703" s="289"/>
      <c r="BG703" s="289"/>
      <c r="BH703" s="266"/>
      <c r="BI703" s="257"/>
      <c r="BJ703" s="257"/>
      <c r="BK703" s="257"/>
      <c r="BL703" s="257"/>
      <c r="BM703" s="257"/>
      <c r="BN703" s="257"/>
      <c r="BO703" s="257"/>
      <c r="BP703" s="289"/>
      <c r="BQ703" s="289"/>
      <c r="BR703" s="257"/>
      <c r="BS703" s="236"/>
    </row>
    <row r="704" spans="1:71" s="693" customFormat="1" ht="15">
      <c r="A704" s="235" t="s">
        <v>581</v>
      </c>
      <c r="B704" s="236" t="b">
        <f>OR(AND(OR(EXACT(HP.TradeCurrency.HardCoded,"GBp"),EXACT(HP.TradeCurrency.HardCoded,"GBX")),EXACT(HP.ReportCurrency,"GBP")),AND(OR(EXACT(HP.TradeCurrency.HardCoded,"ZAc"),EXACT(HP.TradeCurrency.HardCoded,"ZAC")),EXACT(HP.ReportCurrency,"ZAR")))</f>
        <v>0</v>
      </c>
      <c r="C704" s="289"/>
      <c r="D704" s="289"/>
      <c r="E704" s="289"/>
      <c r="F704" s="289"/>
      <c r="G704" s="289"/>
      <c r="H704" s="289"/>
      <c r="I704" s="289"/>
      <c r="J704" s="289"/>
      <c r="K704" s="289"/>
      <c r="L704" s="289"/>
      <c r="M704" s="289"/>
      <c r="N704" s="289"/>
      <c r="O704" s="289"/>
      <c r="P704" s="289"/>
      <c r="Q704" s="289"/>
      <c r="R704" s="289"/>
      <c r="S704" s="289"/>
      <c r="T704" s="289"/>
      <c r="U704" s="289"/>
      <c r="V704" s="289"/>
      <c r="W704" s="289"/>
      <c r="X704" s="289"/>
      <c r="Y704" s="289"/>
      <c r="Z704" s="289"/>
      <c r="AA704" s="289"/>
      <c r="AB704" s="289"/>
      <c r="AC704" s="289"/>
      <c r="AD704" s="289"/>
      <c r="AE704" s="289"/>
      <c r="AF704" s="289"/>
      <c r="AG704" s="289"/>
      <c r="AH704" s="289"/>
      <c r="AI704" s="289"/>
      <c r="AJ704" s="289"/>
      <c r="AK704" s="289"/>
      <c r="AL704" s="289"/>
      <c r="AM704" s="289"/>
      <c r="AN704" s="289"/>
      <c r="AO704" s="289"/>
      <c r="AP704" s="289"/>
      <c r="AQ704" s="289"/>
      <c r="AR704" s="289"/>
      <c r="AS704" s="289"/>
      <c r="AT704" s="289"/>
      <c r="AU704" s="289"/>
      <c r="AV704" s="289"/>
      <c r="AW704" s="289"/>
      <c r="AX704" s="289"/>
      <c r="AY704" s="289"/>
      <c r="AZ704" s="289"/>
      <c r="BA704" s="289"/>
      <c r="BB704" s="289"/>
      <c r="BC704" s="289"/>
      <c r="BD704" s="289"/>
      <c r="BE704" s="289"/>
      <c r="BF704" s="289"/>
      <c r="BG704" s="289"/>
      <c r="BH704" s="266"/>
      <c r="BI704" s="257"/>
      <c r="BJ704" s="257"/>
      <c r="BK704" s="257"/>
      <c r="BL704" s="257"/>
      <c r="BM704" s="257"/>
      <c r="BN704" s="257"/>
      <c r="BO704" s="257"/>
      <c r="BP704" s="289"/>
      <c r="BQ704" s="289"/>
      <c r="BR704" s="257"/>
      <c r="BS704" s="236"/>
    </row>
    <row r="705" spans="1:71" s="693" customFormat="1" ht="15">
      <c r="A705" s="235" t="s">
        <v>403</v>
      </c>
      <c r="B705" s="236" t="str">
        <f ca="1">IFERROR(CHOOSE(MO.DataSourceIndex,_xll.BDP(HP.Ticker&amp;" Equity","CRNCY"),_xll.CIQ(HP.Ticker,"IQ_TRADING_CURRENCY"),_xll.FDS(HP.Ticker,"P_CURRENCY(""ISO"")"),_xll.TR(HP.Ticker,"Currency")),HP.TradeCurrency.HardCoded)</f>
        <v>USD</v>
      </c>
      <c r="C705" s="289"/>
      <c r="D705" s="289"/>
      <c r="E705" s="289"/>
      <c r="F705" s="289"/>
      <c r="G705" s="289"/>
      <c r="H705" s="289"/>
      <c r="I705" s="289"/>
      <c r="J705" s="289"/>
      <c r="K705" s="289"/>
      <c r="L705" s="289"/>
      <c r="M705" s="289"/>
      <c r="N705" s="289"/>
      <c r="O705" s="289"/>
      <c r="P705" s="289"/>
      <c r="Q705" s="289"/>
      <c r="R705" s="289"/>
      <c r="S705" s="289"/>
      <c r="T705" s="289"/>
      <c r="U705" s="289"/>
      <c r="V705" s="289"/>
      <c r="W705" s="289"/>
      <c r="X705" s="289"/>
      <c r="Y705" s="289"/>
      <c r="Z705" s="289"/>
      <c r="AA705" s="289"/>
      <c r="AB705" s="289"/>
      <c r="AC705" s="289"/>
      <c r="AD705" s="289"/>
      <c r="AE705" s="289"/>
      <c r="AF705" s="289"/>
      <c r="AG705" s="289"/>
      <c r="AH705" s="289"/>
      <c r="AI705" s="289"/>
      <c r="AJ705" s="289"/>
      <c r="AK705" s="289"/>
      <c r="AL705" s="289"/>
      <c r="AM705" s="289"/>
      <c r="AN705" s="289"/>
      <c r="AO705" s="289"/>
      <c r="AP705" s="289"/>
      <c r="AQ705" s="289"/>
      <c r="AR705" s="289"/>
      <c r="AS705" s="289"/>
      <c r="AT705" s="289"/>
      <c r="AU705" s="289"/>
      <c r="AV705" s="289"/>
      <c r="AW705" s="289"/>
      <c r="AX705" s="289"/>
      <c r="AY705" s="289"/>
      <c r="AZ705" s="289"/>
      <c r="BA705" s="289"/>
      <c r="BB705" s="289"/>
      <c r="BC705" s="289"/>
      <c r="BD705" s="289"/>
      <c r="BE705" s="289"/>
      <c r="BF705" s="289"/>
      <c r="BG705" s="289"/>
      <c r="BH705" s="266"/>
      <c r="BI705" s="257"/>
      <c r="BJ705" s="257"/>
      <c r="BK705" s="257"/>
      <c r="BL705" s="257"/>
      <c r="BM705" s="257"/>
      <c r="BN705" s="257"/>
      <c r="BO705" s="257"/>
      <c r="BP705" s="289"/>
      <c r="BQ705" s="289"/>
      <c r="BR705" s="257"/>
      <c r="BS705" s="236"/>
    </row>
    <row r="706" spans="1:71" s="693" customFormat="1" ht="15">
      <c r="A706" s="235" t="s">
        <v>404</v>
      </c>
      <c r="B706" s="1106" t="s">
        <v>11</v>
      </c>
      <c r="C706" s="289"/>
      <c r="D706" s="289"/>
      <c r="E706" s="289"/>
      <c r="F706" s="289"/>
      <c r="G706" s="289"/>
      <c r="H706" s="289"/>
      <c r="I706" s="289"/>
      <c r="J706" s="289"/>
      <c r="K706" s="289"/>
      <c r="L706" s="289"/>
      <c r="M706" s="289"/>
      <c r="N706" s="289"/>
      <c r="O706" s="289"/>
      <c r="P706" s="289"/>
      <c r="Q706" s="289"/>
      <c r="R706" s="289"/>
      <c r="S706" s="289"/>
      <c r="T706" s="289"/>
      <c r="U706" s="289"/>
      <c r="V706" s="289"/>
      <c r="W706" s="289"/>
      <c r="X706" s="289"/>
      <c r="Y706" s="289"/>
      <c r="Z706" s="289"/>
      <c r="AA706" s="289"/>
      <c r="AB706" s="289"/>
      <c r="AC706" s="289"/>
      <c r="AD706" s="289"/>
      <c r="AE706" s="289"/>
      <c r="AF706" s="289"/>
      <c r="AG706" s="289"/>
      <c r="AH706" s="289"/>
      <c r="AI706" s="289"/>
      <c r="AJ706" s="289"/>
      <c r="AK706" s="289"/>
      <c r="AL706" s="289"/>
      <c r="AM706" s="289"/>
      <c r="AN706" s="289"/>
      <c r="AO706" s="289"/>
      <c r="AP706" s="289"/>
      <c r="AQ706" s="289"/>
      <c r="AR706" s="289"/>
      <c r="AS706" s="289"/>
      <c r="AT706" s="289"/>
      <c r="AU706" s="289"/>
      <c r="AV706" s="289"/>
      <c r="AW706" s="289"/>
      <c r="AX706" s="289"/>
      <c r="AY706" s="289"/>
      <c r="AZ706" s="289"/>
      <c r="BA706" s="289"/>
      <c r="BB706" s="289"/>
      <c r="BC706" s="289"/>
      <c r="BD706" s="289"/>
      <c r="BE706" s="289"/>
      <c r="BF706" s="289"/>
      <c r="BG706" s="289"/>
      <c r="BH706" s="266"/>
      <c r="BI706" s="257"/>
      <c r="BJ706" s="257"/>
      <c r="BK706" s="257"/>
      <c r="BL706" s="257"/>
      <c r="BM706" s="257"/>
      <c r="BN706" s="257"/>
      <c r="BO706" s="257"/>
      <c r="BP706" s="289"/>
      <c r="BQ706" s="289"/>
      <c r="BR706" s="257"/>
      <c r="BS706" s="236"/>
    </row>
    <row r="707" spans="1:71" s="693" customFormat="1" ht="15">
      <c r="A707" s="235" t="s">
        <v>405</v>
      </c>
      <c r="B707" s="1106" t="s">
        <v>11</v>
      </c>
      <c r="C707" s="289"/>
      <c r="D707" s="289"/>
      <c r="E707" s="289"/>
      <c r="F707" s="289"/>
      <c r="G707" s="289"/>
      <c r="H707" s="289"/>
      <c r="I707" s="289"/>
      <c r="J707" s="289"/>
      <c r="K707" s="289"/>
      <c r="L707" s="289"/>
      <c r="M707" s="289"/>
      <c r="N707" s="289"/>
      <c r="O707" s="289"/>
      <c r="P707" s="289"/>
      <c r="Q707" s="289"/>
      <c r="R707" s="289"/>
      <c r="S707" s="289"/>
      <c r="T707" s="289"/>
      <c r="U707" s="289"/>
      <c r="V707" s="289"/>
      <c r="W707" s="289"/>
      <c r="X707" s="289"/>
      <c r="Y707" s="289"/>
      <c r="Z707" s="289"/>
      <c r="AA707" s="289"/>
      <c r="AB707" s="289"/>
      <c r="AC707" s="289"/>
      <c r="AD707" s="289"/>
      <c r="AE707" s="289"/>
      <c r="AF707" s="289"/>
      <c r="AG707" s="289"/>
      <c r="AH707" s="289"/>
      <c r="AI707" s="289"/>
      <c r="AJ707" s="289"/>
      <c r="AK707" s="289"/>
      <c r="AL707" s="289"/>
      <c r="AM707" s="289"/>
      <c r="AN707" s="289"/>
      <c r="AO707" s="289"/>
      <c r="AP707" s="289"/>
      <c r="AQ707" s="289"/>
      <c r="AR707" s="289"/>
      <c r="AS707" s="289"/>
      <c r="AT707" s="289"/>
      <c r="AU707" s="289"/>
      <c r="AV707" s="289"/>
      <c r="AW707" s="289"/>
      <c r="AX707" s="289"/>
      <c r="AY707" s="289"/>
      <c r="AZ707" s="289"/>
      <c r="BA707" s="289"/>
      <c r="BB707" s="289"/>
      <c r="BC707" s="289"/>
      <c r="BD707" s="289"/>
      <c r="BE707" s="289"/>
      <c r="BF707" s="289"/>
      <c r="BG707" s="289"/>
      <c r="BH707" s="266"/>
      <c r="BI707" s="257"/>
      <c r="BJ707" s="257"/>
      <c r="BK707" s="257"/>
      <c r="BL707" s="257"/>
      <c r="BM707" s="257"/>
      <c r="BN707" s="257"/>
      <c r="BO707" s="257"/>
      <c r="BP707" s="289"/>
      <c r="BQ707" s="289"/>
      <c r="BR707" s="257"/>
      <c r="BS707" s="236"/>
    </row>
    <row r="708" spans="1:71" s="693" customFormat="1" ht="15">
      <c r="A708" s="235" t="s">
        <v>406</v>
      </c>
      <c r="B708" s="248">
        <f ca="1">IF(EXACT(MO.ReportFX,HP.TradeCurrency),1,IF(OR(INDEX(MO_SPT_FXAverage,1,MO.MRFPColumnNumber+1)="N/A",ISERROR(INDEX(MO_SPT_FXAverage,1,MO.MRFPColumnNumber+1))),MO.MRFX.Hardcoded,INDEX(MO_SPT_FXAverage,1,MO.MRFPColumnNumber+1)))</f>
        <v>1</v>
      </c>
      <c r="C708" s="289"/>
      <c r="D708" s="289"/>
      <c r="E708" s="289"/>
      <c r="F708" s="289"/>
      <c r="G708" s="289"/>
      <c r="H708" s="289"/>
      <c r="I708" s="289"/>
      <c r="J708" s="289"/>
      <c r="K708" s="289"/>
      <c r="L708" s="289"/>
      <c r="M708" s="289"/>
      <c r="N708" s="289"/>
      <c r="O708" s="289"/>
      <c r="P708" s="289"/>
      <c r="Q708" s="289"/>
      <c r="R708" s="289"/>
      <c r="S708" s="289"/>
      <c r="T708" s="289"/>
      <c r="U708" s="289"/>
      <c r="V708" s="289"/>
      <c r="W708" s="289"/>
      <c r="X708" s="289"/>
      <c r="Y708" s="289"/>
      <c r="Z708" s="289"/>
      <c r="AA708" s="289"/>
      <c r="AB708" s="289"/>
      <c r="AC708" s="289"/>
      <c r="AD708" s="289"/>
      <c r="AE708" s="289"/>
      <c r="AF708" s="289"/>
      <c r="AG708" s="289"/>
      <c r="AH708" s="289"/>
      <c r="AI708" s="289"/>
      <c r="AJ708" s="289"/>
      <c r="AK708" s="289"/>
      <c r="AL708" s="289"/>
      <c r="AM708" s="289"/>
      <c r="AN708" s="289"/>
      <c r="AO708" s="289"/>
      <c r="AP708" s="289"/>
      <c r="AQ708" s="289"/>
      <c r="AR708" s="289"/>
      <c r="AS708" s="289"/>
      <c r="AT708" s="289"/>
      <c r="AU708" s="289"/>
      <c r="AV708" s="289"/>
      <c r="AW708" s="289"/>
      <c r="AX708" s="289"/>
      <c r="AY708" s="289"/>
      <c r="AZ708" s="289"/>
      <c r="BA708" s="289"/>
      <c r="BB708" s="289"/>
      <c r="BC708" s="289"/>
      <c r="BD708" s="289"/>
      <c r="BE708" s="289"/>
      <c r="BF708" s="289"/>
      <c r="BG708" s="289"/>
      <c r="BH708" s="266"/>
      <c r="BI708" s="257"/>
      <c r="BJ708" s="257"/>
      <c r="BK708" s="257"/>
      <c r="BL708" s="257"/>
      <c r="BM708" s="257"/>
      <c r="BN708" s="257"/>
      <c r="BO708" s="257"/>
      <c r="BP708" s="289"/>
      <c r="BQ708" s="289"/>
      <c r="BR708" s="257"/>
      <c r="BS708" s="236"/>
    </row>
    <row r="709" spans="1:71" s="693" customFormat="1" ht="15">
      <c r="A709" s="235" t="s">
        <v>407</v>
      </c>
      <c r="B709" s="1107">
        <v>1</v>
      </c>
      <c r="C709" s="289"/>
      <c r="D709" s="289"/>
      <c r="E709" s="289"/>
      <c r="F709" s="289"/>
      <c r="G709" s="289"/>
      <c r="H709" s="289"/>
      <c r="I709" s="289"/>
      <c r="J709" s="289"/>
      <c r="K709" s="289"/>
      <c r="L709" s="289"/>
      <c r="M709" s="289"/>
      <c r="N709" s="289"/>
      <c r="O709" s="289"/>
      <c r="P709" s="289"/>
      <c r="Q709" s="289"/>
      <c r="R709" s="289"/>
      <c r="S709" s="289"/>
      <c r="T709" s="289"/>
      <c r="U709" s="289"/>
      <c r="V709" s="289"/>
      <c r="W709" s="289"/>
      <c r="X709" s="289"/>
      <c r="Y709" s="289"/>
      <c r="Z709" s="289"/>
      <c r="AA709" s="289"/>
      <c r="AB709" s="289"/>
      <c r="AC709" s="289"/>
      <c r="AD709" s="289"/>
      <c r="AE709" s="289"/>
      <c r="AF709" s="289"/>
      <c r="AG709" s="289"/>
      <c r="AH709" s="289"/>
      <c r="AI709" s="289"/>
      <c r="AJ709" s="289"/>
      <c r="AK709" s="289"/>
      <c r="AL709" s="289"/>
      <c r="AM709" s="289"/>
      <c r="AN709" s="289"/>
      <c r="AO709" s="289"/>
      <c r="AP709" s="289"/>
      <c r="AQ709" s="289"/>
      <c r="AR709" s="289"/>
      <c r="AS709" s="289"/>
      <c r="AT709" s="289"/>
      <c r="AU709" s="289"/>
      <c r="AV709" s="289"/>
      <c r="AW709" s="289"/>
      <c r="AX709" s="289"/>
      <c r="AY709" s="289"/>
      <c r="AZ709" s="289"/>
      <c r="BA709" s="289"/>
      <c r="BB709" s="289"/>
      <c r="BC709" s="289"/>
      <c r="BD709" s="289"/>
      <c r="BE709" s="289"/>
      <c r="BF709" s="289"/>
      <c r="BG709" s="289"/>
      <c r="BH709" s="266"/>
      <c r="BI709" s="257"/>
      <c r="BJ709" s="257"/>
      <c r="BK709" s="257"/>
      <c r="BL709" s="257"/>
      <c r="BM709" s="257"/>
      <c r="BN709" s="257"/>
      <c r="BO709" s="257"/>
      <c r="BP709" s="289"/>
      <c r="BQ709" s="289"/>
      <c r="BR709" s="257"/>
      <c r="BS709" s="236"/>
    </row>
    <row r="710" spans="1:71" s="694" customFormat="1" ht="15">
      <c r="A710" s="239" t="s">
        <v>408</v>
      </c>
      <c r="B710" s="240">
        <f>MATCH(MO.MRFP,MO_Common_ColumnHeader,0)</f>
        <v>60</v>
      </c>
      <c r="C710" s="419"/>
      <c r="D710" s="419"/>
      <c r="E710" s="419"/>
      <c r="F710" s="419"/>
      <c r="G710" s="419"/>
      <c r="H710" s="419"/>
      <c r="I710" s="419"/>
      <c r="J710" s="419"/>
      <c r="K710" s="419"/>
      <c r="L710" s="419"/>
      <c r="M710" s="419"/>
      <c r="N710" s="419"/>
      <c r="O710" s="419"/>
      <c r="P710" s="419"/>
      <c r="Q710" s="419"/>
      <c r="R710" s="419"/>
      <c r="S710" s="419"/>
      <c r="T710" s="419"/>
      <c r="U710" s="419"/>
      <c r="V710" s="419"/>
      <c r="W710" s="419"/>
      <c r="X710" s="419"/>
      <c r="Y710" s="419"/>
      <c r="Z710" s="419"/>
      <c r="AA710" s="419"/>
      <c r="AB710" s="419"/>
      <c r="AC710" s="419"/>
      <c r="AD710" s="419"/>
      <c r="AE710" s="419"/>
      <c r="AF710" s="419"/>
      <c r="AG710" s="419"/>
      <c r="AH710" s="419"/>
      <c r="AI710" s="419"/>
      <c r="AJ710" s="419"/>
      <c r="AK710" s="419"/>
      <c r="AL710" s="419"/>
      <c r="AM710" s="419"/>
      <c r="AN710" s="419"/>
      <c r="AO710" s="419"/>
      <c r="AP710" s="419"/>
      <c r="AQ710" s="419"/>
      <c r="AR710" s="419"/>
      <c r="AS710" s="419"/>
      <c r="AT710" s="419"/>
      <c r="AU710" s="419"/>
      <c r="AV710" s="419"/>
      <c r="AW710" s="419"/>
      <c r="AX710" s="419"/>
      <c r="AY710" s="419"/>
      <c r="AZ710" s="419"/>
      <c r="BA710" s="419"/>
      <c r="BB710" s="419"/>
      <c r="BC710" s="419"/>
      <c r="BD710" s="419"/>
      <c r="BE710" s="419"/>
      <c r="BF710" s="419"/>
      <c r="BG710" s="419"/>
      <c r="BH710" s="464"/>
      <c r="BI710" s="171"/>
      <c r="BJ710" s="171"/>
      <c r="BK710" s="171"/>
      <c r="BL710" s="171"/>
      <c r="BM710" s="171"/>
      <c r="BN710" s="171"/>
      <c r="BO710" s="171"/>
      <c r="BP710" s="419"/>
      <c r="BQ710" s="419"/>
      <c r="BR710" s="171"/>
      <c r="BS710" s="240"/>
    </row>
    <row r="711" spans="1:71" s="694" customFormat="1" ht="15">
      <c r="A711" s="239" t="s">
        <v>409</v>
      </c>
      <c r="B711" s="1051" t="s">
        <v>620</v>
      </c>
      <c r="C711" s="419"/>
      <c r="D711" s="419"/>
      <c r="E711" s="419"/>
      <c r="F711" s="419"/>
      <c r="G711" s="419"/>
      <c r="H711" s="419"/>
      <c r="I711" s="419"/>
      <c r="J711" s="419"/>
      <c r="K711" s="419"/>
      <c r="L711" s="419"/>
      <c r="M711" s="419"/>
      <c r="N711" s="419"/>
      <c r="O711" s="419"/>
      <c r="P711" s="419"/>
      <c r="Q711" s="419"/>
      <c r="R711" s="419"/>
      <c r="S711" s="419"/>
      <c r="T711" s="419"/>
      <c r="U711" s="419"/>
      <c r="V711" s="419"/>
      <c r="W711" s="419"/>
      <c r="X711" s="419"/>
      <c r="Y711" s="419"/>
      <c r="Z711" s="419"/>
      <c r="AA711" s="419"/>
      <c r="AB711" s="419"/>
      <c r="AC711" s="419"/>
      <c r="AD711" s="419"/>
      <c r="AE711" s="419"/>
      <c r="AF711" s="419"/>
      <c r="AG711" s="419"/>
      <c r="AH711" s="419"/>
      <c r="AI711" s="419"/>
      <c r="AJ711" s="419"/>
      <c r="AK711" s="419"/>
      <c r="AL711" s="419"/>
      <c r="AM711" s="419"/>
      <c r="AN711" s="419"/>
      <c r="AO711" s="419"/>
      <c r="AP711" s="419"/>
      <c r="AQ711" s="419"/>
      <c r="AR711" s="419"/>
      <c r="AS711" s="419"/>
      <c r="AT711" s="419"/>
      <c r="AU711" s="419"/>
      <c r="AV711" s="419"/>
      <c r="AW711" s="419"/>
      <c r="AX711" s="419"/>
      <c r="AY711" s="419"/>
      <c r="AZ711" s="419"/>
      <c r="BA711" s="419"/>
      <c r="BB711" s="419"/>
      <c r="BC711" s="419"/>
      <c r="BD711" s="419"/>
      <c r="BE711" s="419"/>
      <c r="BF711" s="419"/>
      <c r="BG711" s="419"/>
      <c r="BH711" s="464"/>
      <c r="BI711" s="171"/>
      <c r="BJ711" s="171"/>
      <c r="BK711" s="171"/>
      <c r="BL711" s="171"/>
      <c r="BM711" s="171"/>
      <c r="BN711" s="171"/>
      <c r="BO711" s="171"/>
      <c r="BP711" s="419"/>
      <c r="BQ711" s="419"/>
      <c r="BR711" s="171"/>
      <c r="BS711" s="240"/>
    </row>
    <row r="712" spans="1:71" s="694" customFormat="1" ht="15">
      <c r="A712" s="239" t="s">
        <v>410</v>
      </c>
      <c r="B712" s="240" t="str">
        <f>"FY"&amp;RIGHT(MO.MRFP,4)</f>
        <v>FY2024</v>
      </c>
      <c r="C712" s="419"/>
      <c r="D712" s="419"/>
      <c r="E712" s="419"/>
      <c r="F712" s="419"/>
      <c r="G712" s="419"/>
      <c r="H712" s="419"/>
      <c r="I712" s="419"/>
      <c r="J712" s="419"/>
      <c r="K712" s="419"/>
      <c r="L712" s="419"/>
      <c r="M712" s="419"/>
      <c r="N712" s="419"/>
      <c r="O712" s="419"/>
      <c r="P712" s="419"/>
      <c r="Q712" s="419"/>
      <c r="R712" s="419"/>
      <c r="S712" s="419"/>
      <c r="T712" s="419"/>
      <c r="U712" s="419"/>
      <c r="V712" s="419"/>
      <c r="W712" s="419"/>
      <c r="X712" s="419"/>
      <c r="Y712" s="419"/>
      <c r="Z712" s="419"/>
      <c r="AA712" s="419"/>
      <c r="AB712" s="419"/>
      <c r="AC712" s="419"/>
      <c r="AD712" s="419"/>
      <c r="AE712" s="419"/>
      <c r="AF712" s="419"/>
      <c r="AG712" s="419"/>
      <c r="AH712" s="419"/>
      <c r="AI712" s="419"/>
      <c r="AJ712" s="419"/>
      <c r="AK712" s="419"/>
      <c r="AL712" s="419"/>
      <c r="AM712" s="419"/>
      <c r="AN712" s="419"/>
      <c r="AO712" s="419"/>
      <c r="AP712" s="419"/>
      <c r="AQ712" s="419"/>
      <c r="AR712" s="419"/>
      <c r="AS712" s="419"/>
      <c r="AT712" s="419"/>
      <c r="AU712" s="419"/>
      <c r="AV712" s="419"/>
      <c r="AW712" s="419"/>
      <c r="AX712" s="419"/>
      <c r="AY712" s="419"/>
      <c r="AZ712" s="419"/>
      <c r="BA712" s="419"/>
      <c r="BB712" s="419"/>
      <c r="BC712" s="419"/>
      <c r="BD712" s="419"/>
      <c r="BE712" s="419"/>
      <c r="BF712" s="419"/>
      <c r="BG712" s="419"/>
      <c r="BH712" s="464"/>
      <c r="BI712" s="171"/>
      <c r="BJ712" s="171"/>
      <c r="BK712" s="171"/>
      <c r="BL712" s="171"/>
      <c r="BM712" s="171"/>
      <c r="BN712" s="171"/>
      <c r="BO712" s="171"/>
      <c r="BP712" s="419"/>
      <c r="BQ712" s="419"/>
      <c r="BR712" s="171"/>
      <c r="BS712" s="240"/>
    </row>
    <row r="713" spans="1:71" s="694" customFormat="1" ht="15">
      <c r="A713" s="239" t="s">
        <v>474</v>
      </c>
      <c r="B713" s="240" t="str">
        <f>"FY"&amp;RIGHT(MO.MRFP,4)+IF(LEFT(MO.MRFP,2)="FY",1,0)</f>
        <v>FY2024</v>
      </c>
      <c r="C713" s="419"/>
      <c r="D713" s="419"/>
      <c r="E713" s="419"/>
      <c r="F713" s="419"/>
      <c r="G713" s="419"/>
      <c r="H713" s="419"/>
      <c r="I713" s="419"/>
      <c r="J713" s="419"/>
      <c r="K713" s="419"/>
      <c r="L713" s="419"/>
      <c r="M713" s="419"/>
      <c r="N713" s="419"/>
      <c r="O713" s="419"/>
      <c r="P713" s="419"/>
      <c r="Q713" s="419"/>
      <c r="R713" s="419"/>
      <c r="S713" s="419"/>
      <c r="T713" s="419"/>
      <c r="U713" s="419"/>
      <c r="V713" s="419"/>
      <c r="W713" s="419"/>
      <c r="X713" s="419"/>
      <c r="Y713" s="419"/>
      <c r="Z713" s="419"/>
      <c r="AA713" s="419"/>
      <c r="AB713" s="419"/>
      <c r="AC713" s="419"/>
      <c r="AD713" s="419"/>
      <c r="AE713" s="419"/>
      <c r="AF713" s="419"/>
      <c r="AG713" s="419"/>
      <c r="AH713" s="419"/>
      <c r="AI713" s="419"/>
      <c r="AJ713" s="419"/>
      <c r="AK713" s="419"/>
      <c r="AL713" s="419"/>
      <c r="AM713" s="419"/>
      <c r="AN713" s="419"/>
      <c r="AO713" s="419"/>
      <c r="AP713" s="419"/>
      <c r="AQ713" s="419"/>
      <c r="AR713" s="419"/>
      <c r="AS713" s="419"/>
      <c r="AT713" s="419"/>
      <c r="AU713" s="419"/>
      <c r="AV713" s="419"/>
      <c r="AW713" s="419"/>
      <c r="AX713" s="419"/>
      <c r="AY713" s="419"/>
      <c r="AZ713" s="419"/>
      <c r="BA713" s="419"/>
      <c r="BB713" s="419"/>
      <c r="BC713" s="419"/>
      <c r="BD713" s="419"/>
      <c r="BE713" s="419"/>
      <c r="BF713" s="419"/>
      <c r="BG713" s="419"/>
      <c r="BH713" s="464"/>
      <c r="BI713" s="171"/>
      <c r="BJ713" s="171"/>
      <c r="BK713" s="171"/>
      <c r="BL713" s="171"/>
      <c r="BM713" s="171"/>
      <c r="BN713" s="171"/>
      <c r="BO713" s="171"/>
      <c r="BP713" s="419"/>
      <c r="BQ713" s="419"/>
      <c r="BR713" s="171"/>
      <c r="BS713" s="240"/>
    </row>
    <row r="714" spans="1:71" s="694" customFormat="1" ht="15">
      <c r="A714" s="239" t="s">
        <v>580</v>
      </c>
      <c r="B714" s="240">
        <f>COUNTA(tb_KPIs)-1</f>
        <v>3</v>
      </c>
      <c r="C714" s="419"/>
      <c r="D714" s="419"/>
      <c r="E714" s="419"/>
      <c r="F714" s="419"/>
      <c r="G714" s="419"/>
      <c r="H714" s="419"/>
      <c r="I714" s="419"/>
      <c r="J714" s="419"/>
      <c r="K714" s="419"/>
      <c r="L714" s="419"/>
      <c r="M714" s="419"/>
      <c r="N714" s="419"/>
      <c r="O714" s="419"/>
      <c r="P714" s="419"/>
      <c r="Q714" s="419"/>
      <c r="R714" s="419"/>
      <c r="S714" s="419"/>
      <c r="T714" s="419"/>
      <c r="U714" s="419"/>
      <c r="V714" s="419"/>
      <c r="W714" s="419"/>
      <c r="X714" s="419"/>
      <c r="Y714" s="419"/>
      <c r="Z714" s="419"/>
      <c r="AA714" s="419"/>
      <c r="AB714" s="419"/>
      <c r="AC714" s="419"/>
      <c r="AD714" s="419"/>
      <c r="AE714" s="419"/>
      <c r="AF714" s="419"/>
      <c r="AG714" s="419"/>
      <c r="AH714" s="419"/>
      <c r="AI714" s="419"/>
      <c r="AJ714" s="419"/>
      <c r="AK714" s="419"/>
      <c r="AL714" s="419"/>
      <c r="AM714" s="419"/>
      <c r="AN714" s="419"/>
      <c r="AO714" s="419"/>
      <c r="AP714" s="419"/>
      <c r="AQ714" s="419"/>
      <c r="AR714" s="419"/>
      <c r="AS714" s="419"/>
      <c r="AT714" s="419"/>
      <c r="AU714" s="419"/>
      <c r="AV714" s="419"/>
      <c r="AW714" s="419"/>
      <c r="AX714" s="419"/>
      <c r="AY714" s="419"/>
      <c r="AZ714" s="419"/>
      <c r="BA714" s="419"/>
      <c r="BB714" s="419"/>
      <c r="BC714" s="419"/>
      <c r="BD714" s="419"/>
      <c r="BE714" s="419"/>
      <c r="BF714" s="419"/>
      <c r="BG714" s="419"/>
      <c r="BH714" s="464"/>
      <c r="BI714" s="171"/>
      <c r="BJ714" s="171"/>
      <c r="BK714" s="171"/>
      <c r="BL714" s="171"/>
      <c r="BM714" s="171"/>
      <c r="BN714" s="171"/>
      <c r="BO714" s="171"/>
      <c r="BP714" s="419"/>
      <c r="BQ714" s="419"/>
      <c r="BR714" s="171"/>
      <c r="BS714" s="240"/>
    </row>
    <row r="715" spans="1:71" s="694" customFormat="1" ht="15">
      <c r="A715" s="241" t="s">
        <v>411</v>
      </c>
      <c r="B715" s="242">
        <f>IF(MO.DataSourceName="Bloomberg",1,IF(MO.DataSourceName="Capital IQ",2,IF(MO.DataSourceName="FactSet",3,IF(MO.DataSourceName="Refinitiv",4,1))))</f>
        <v>1</v>
      </c>
      <c r="C715" s="419"/>
      <c r="D715" s="419"/>
      <c r="E715" s="419"/>
      <c r="F715" s="419"/>
      <c r="G715" s="419"/>
      <c r="H715" s="419"/>
      <c r="I715" s="419"/>
      <c r="J715" s="419"/>
      <c r="K715" s="419"/>
      <c r="L715" s="419"/>
      <c r="M715" s="419"/>
      <c r="N715" s="419"/>
      <c r="O715" s="419"/>
      <c r="P715" s="419"/>
      <c r="Q715" s="419"/>
      <c r="R715" s="419"/>
      <c r="S715" s="419"/>
      <c r="T715" s="419"/>
      <c r="U715" s="419"/>
      <c r="V715" s="419"/>
      <c r="W715" s="419"/>
      <c r="X715" s="419"/>
      <c r="Y715" s="419"/>
      <c r="Z715" s="419"/>
      <c r="AA715" s="419"/>
      <c r="AB715" s="419"/>
      <c r="AC715" s="419"/>
      <c r="AD715" s="419"/>
      <c r="AE715" s="419"/>
      <c r="AF715" s="419"/>
      <c r="AG715" s="419"/>
      <c r="AH715" s="419"/>
      <c r="AI715" s="419"/>
      <c r="AJ715" s="419"/>
      <c r="AK715" s="419"/>
      <c r="AL715" s="419"/>
      <c r="AM715" s="419"/>
      <c r="AN715" s="419"/>
      <c r="AO715" s="419"/>
      <c r="AP715" s="419"/>
      <c r="AQ715" s="419"/>
      <c r="AR715" s="419"/>
      <c r="AS715" s="419"/>
      <c r="AT715" s="419"/>
      <c r="AU715" s="419"/>
      <c r="AV715" s="419"/>
      <c r="AW715" s="419"/>
      <c r="AX715" s="419"/>
      <c r="AY715" s="419"/>
      <c r="AZ715" s="419"/>
      <c r="BA715" s="419"/>
      <c r="BB715" s="419"/>
      <c r="BC715" s="419"/>
      <c r="BD715" s="419"/>
      <c r="BE715" s="419"/>
      <c r="BF715" s="419"/>
      <c r="BG715" s="419"/>
      <c r="BH715" s="464"/>
      <c r="BI715" s="171"/>
      <c r="BJ715" s="171"/>
      <c r="BK715" s="171"/>
      <c r="BL715" s="171"/>
      <c r="BM715" s="171"/>
      <c r="BN715" s="171"/>
      <c r="BO715" s="171"/>
      <c r="BP715" s="419"/>
      <c r="BQ715" s="419"/>
      <c r="BR715" s="171"/>
      <c r="BS715" s="240"/>
    </row>
    <row r="716" spans="1:71" ht="15">
      <c r="A716" s="558"/>
      <c r="B716" s="558"/>
      <c r="C716" s="466"/>
      <c r="D716" s="466"/>
      <c r="E716" s="466"/>
      <c r="F716" s="466"/>
      <c r="G716" s="466"/>
      <c r="H716" s="466"/>
      <c r="I716" s="466"/>
      <c r="J716" s="466"/>
      <c r="K716" s="466"/>
      <c r="L716" s="466"/>
      <c r="M716" s="466"/>
      <c r="N716" s="466"/>
      <c r="O716" s="466"/>
      <c r="P716" s="466"/>
      <c r="Q716" s="466"/>
      <c r="R716" s="466"/>
      <c r="S716" s="466"/>
      <c r="T716" s="466"/>
      <c r="U716" s="466"/>
      <c r="V716" s="466"/>
      <c r="W716" s="466"/>
      <c r="X716" s="466"/>
      <c r="Y716" s="466"/>
      <c r="Z716" s="466"/>
      <c r="AA716" s="466"/>
      <c r="AB716" s="466"/>
      <c r="AC716" s="466"/>
      <c r="AD716" s="466"/>
      <c r="AE716" s="466"/>
      <c r="AF716" s="466"/>
      <c r="AG716" s="466"/>
      <c r="AH716" s="466"/>
      <c r="AI716" s="466"/>
      <c r="AJ716" s="466"/>
      <c r="AK716" s="466"/>
      <c r="AL716" s="466"/>
      <c r="AM716" s="466"/>
      <c r="AN716" s="466"/>
      <c r="AO716" s="466"/>
      <c r="AP716" s="466"/>
      <c r="AQ716" s="466"/>
      <c r="AR716" s="466"/>
      <c r="AS716" s="466"/>
      <c r="AT716" s="466"/>
      <c r="AU716" s="466"/>
      <c r="AV716" s="466"/>
      <c r="AW716" s="466"/>
      <c r="AX716" s="466"/>
      <c r="AY716" s="466"/>
      <c r="AZ716" s="466"/>
      <c r="BA716" s="466"/>
      <c r="BB716" s="466"/>
      <c r="BC716" s="466"/>
      <c r="BD716" s="466"/>
      <c r="BE716" s="466"/>
      <c r="BF716" s="466"/>
      <c r="BG716" s="466"/>
      <c r="BH716" s="467"/>
      <c r="BI716" s="468"/>
      <c r="BJ716" s="468"/>
      <c r="BK716" s="468"/>
      <c r="BL716" s="468"/>
      <c r="BM716" s="468"/>
      <c r="BN716" s="468"/>
      <c r="BO716" s="468"/>
      <c r="BP716" s="466"/>
      <c r="BQ716" s="466"/>
      <c r="BR716" s="468"/>
      <c r="BS716" s="234"/>
    </row>
    <row r="717" spans="1:71" ht="15">
      <c r="A717" s="434" t="s">
        <v>617</v>
      </c>
      <c r="B717" s="243"/>
      <c r="C717" s="291"/>
      <c r="D717" s="291"/>
      <c r="E717" s="291"/>
      <c r="F717" s="291"/>
      <c r="G717" s="291"/>
      <c r="H717" s="291"/>
      <c r="I717" s="291"/>
      <c r="J717" s="291"/>
      <c r="K717" s="291"/>
      <c r="L717" s="291"/>
      <c r="M717" s="291"/>
      <c r="N717" s="291"/>
      <c r="O717" s="291"/>
      <c r="P717" s="291"/>
      <c r="Q717" s="291"/>
      <c r="R717" s="291"/>
      <c r="S717" s="291"/>
      <c r="T717" s="291"/>
      <c r="U717" s="291"/>
      <c r="V717" s="291"/>
      <c r="W717" s="291"/>
      <c r="X717" s="291"/>
      <c r="Y717" s="291"/>
      <c r="Z717" s="291"/>
      <c r="AA717" s="291"/>
      <c r="AB717" s="291"/>
      <c r="AC717" s="291"/>
      <c r="AD717" s="291"/>
      <c r="AE717" s="291"/>
      <c r="AF717" s="291"/>
      <c r="AG717" s="291"/>
      <c r="AH717" s="291"/>
      <c r="AI717" s="291"/>
      <c r="AJ717" s="291"/>
      <c r="AK717" s="291"/>
      <c r="AL717" s="291"/>
      <c r="AM717" s="291"/>
      <c r="AN717" s="291"/>
      <c r="AO717" s="291"/>
      <c r="AP717" s="291"/>
      <c r="AQ717" s="291"/>
      <c r="AR717" s="291"/>
      <c r="AS717" s="291"/>
      <c r="AT717" s="291"/>
      <c r="AU717" s="291"/>
      <c r="AV717" s="291"/>
      <c r="AW717" s="291"/>
      <c r="AX717" s="291"/>
      <c r="AY717" s="291"/>
      <c r="AZ717" s="291"/>
      <c r="BA717" s="291"/>
      <c r="BB717" s="291"/>
      <c r="BC717" s="291"/>
      <c r="BD717" s="291"/>
      <c r="BE717" s="291"/>
      <c r="BF717" s="291"/>
      <c r="BG717" s="291"/>
      <c r="BH717" s="291"/>
      <c r="BI717" s="243"/>
      <c r="BJ717" s="243"/>
      <c r="BK717" s="243"/>
      <c r="BL717" s="243"/>
      <c r="BM717" s="243"/>
      <c r="BN717" s="243"/>
      <c r="BO717" s="243"/>
      <c r="BP717" s="291"/>
      <c r="BQ717" s="291"/>
      <c r="BR717" s="243"/>
      <c r="BS717" s="234"/>
    </row>
    <row r="718" spans="1:71" ht="15">
      <c r="A718" s="234"/>
      <c r="B718" s="234"/>
      <c r="C718" s="290"/>
      <c r="D718" s="290"/>
      <c r="E718" s="290"/>
      <c r="F718" s="290"/>
      <c r="G718" s="290"/>
      <c r="H718" s="290"/>
      <c r="I718" s="290"/>
      <c r="J718" s="290"/>
      <c r="K718" s="290"/>
      <c r="L718" s="290"/>
      <c r="M718" s="290"/>
      <c r="N718" s="290"/>
      <c r="O718" s="290"/>
      <c r="P718" s="290"/>
      <c r="Q718" s="290"/>
      <c r="R718" s="290"/>
      <c r="S718" s="267"/>
      <c r="T718" s="290"/>
      <c r="U718" s="290"/>
      <c r="V718" s="290"/>
      <c r="W718" s="290"/>
      <c r="X718" s="290"/>
      <c r="Y718" s="290"/>
      <c r="Z718" s="290"/>
      <c r="AA718" s="290"/>
      <c r="AB718" s="290"/>
      <c r="AC718" s="290"/>
      <c r="AD718" s="290"/>
      <c r="AE718" s="290"/>
      <c r="AF718" s="290"/>
      <c r="AG718" s="290"/>
      <c r="AH718" s="290"/>
      <c r="AI718" s="290"/>
      <c r="AJ718" s="290"/>
      <c r="AK718" s="290"/>
      <c r="AL718" s="290"/>
      <c r="AM718" s="290"/>
      <c r="AN718" s="290"/>
      <c r="AO718" s="290"/>
      <c r="AP718" s="290"/>
      <c r="AQ718" s="290"/>
      <c r="AR718" s="290"/>
      <c r="AS718" s="290"/>
      <c r="AT718" s="290"/>
      <c r="AU718" s="290"/>
      <c r="AV718" s="290"/>
      <c r="AW718" s="290"/>
      <c r="AX718" s="290"/>
      <c r="AY718" s="290"/>
      <c r="AZ718" s="290"/>
      <c r="BA718" s="290"/>
      <c r="BB718" s="290"/>
      <c r="BC718" s="290"/>
      <c r="BD718" s="290"/>
      <c r="BE718" s="290"/>
      <c r="BF718" s="290"/>
      <c r="BG718" s="290"/>
      <c r="BH718" s="290"/>
      <c r="BI718" s="234"/>
      <c r="BJ718" s="234"/>
      <c r="BK718" s="234"/>
      <c r="BL718" s="234"/>
      <c r="BM718" s="234"/>
      <c r="BN718" s="234"/>
      <c r="BO718" s="234"/>
      <c r="BP718" s="290"/>
      <c r="BQ718" s="290"/>
      <c r="BR718" s="234"/>
      <c r="BS718" s="234"/>
    </row>
  </sheetData>
  <conditionalFormatting sqref="C246:BR246">
    <cfRule type="cellIs" priority="1116" dxfId="9" operator="equal">
      <formula>0</formula>
    </cfRule>
  </conditionalFormatting>
  <conditionalFormatting sqref="C246:BR246">
    <cfRule type="cellIs" priority="1115" dxfId="8" operator="notEqual">
      <formula>0</formula>
    </cfRule>
  </conditionalFormatting>
  <conditionalFormatting sqref="C527:BR527">
    <cfRule type="cellIs" priority="1114" dxfId="9" operator="equal">
      <formula>0</formula>
    </cfRule>
  </conditionalFormatting>
  <conditionalFormatting sqref="C527:BR527">
    <cfRule type="cellIs" priority="1113" dxfId="8" operator="notEqual">
      <formula>0</formula>
    </cfRule>
  </conditionalFormatting>
  <conditionalFormatting sqref="C581:BR581">
    <cfRule type="cellIs" priority="1112" dxfId="9" operator="equal">
      <formula>0</formula>
    </cfRule>
  </conditionalFormatting>
  <conditionalFormatting sqref="C581:BR581">
    <cfRule type="cellIs" priority="1111" dxfId="8" operator="notEqual">
      <formula>0</formula>
    </cfRule>
  </conditionalFormatting>
  <conditionalFormatting sqref="C584:AK584 AV584:BR584 C585:BR586 C587:AQ587 BI587 BK587:BR587 C588:BR597 C598:W598 Y598:BR598 C599:AP599 AR599:BR599 C600:BR607">
    <cfRule type="cellIs" priority="1110" dxfId="9" operator="equal">
      <formula>0</formula>
    </cfRule>
  </conditionalFormatting>
  <conditionalFormatting sqref="C584:AK584 AV584:BR584 C585:BR586 C587:AQ587 BI587 BK587:BR587 C588:BR597 C598:W598 Y598:BR598 C599:AP599 AR599:BR599 C600:BR607">
    <cfRule type="cellIs" priority="1109" dxfId="8" operator="notEqual">
      <formula>0</formula>
    </cfRule>
  </conditionalFormatting>
  <dataValidations count="1">
    <dataValidation type="list" allowBlank="1" showInputMessage="1" showErrorMessage="1" sqref="B377">
      <formula1>OFFSET(tb_ValuationToggle,1,0,4,1)</formula1>
    </dataValidation>
  </dataValidations>
  <hyperlinks>
    <hyperlink ref="A1" r:id="rId1" display="American Financial Group, Inc."/>
  </hyperlinks>
  <pageMargins left="0" right="0" top="0.393700787401575" bottom="0" header="0.196850393700787" footer="0"/>
  <pageSetup fitToHeight="0" orientation="landscape" paperSize="1" r:id="rId4"/>
  <headerFooter>
    <oddHeader>&amp;CAmerican Financial Group, Inc.&amp;RPage &amp;P</oddHead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102A76D4-EE13-403A-BBB9-F9AE6F38DD45}">
  <dimension ref="A1:U58"/>
  <sheetViews>
    <sheetView workbookViewId="0" topLeftCell="A1">
      <pane ySplit="5" topLeftCell="A6" activePane="bottomLeft" state="frozen"/>
      <selection pane="topLeft" activeCell="A1" sqref="A1"/>
      <selection pane="bottomLeft" activeCell="A1" sqref="A1"/>
    </sheetView>
  </sheetViews>
  <sheetFormatPr defaultColWidth="8.71428571428571" defaultRowHeight="15" outlineLevelCol="1"/>
  <cols>
    <col min="1" max="1" width="3.42857142857143" style="695" customWidth="1"/>
    <col min="2" max="2" width="9.28571428571429" style="696" bestFit="1" customWidth="1"/>
    <col min="3" max="3" width="2.71428571428571" style="696" customWidth="1"/>
    <col min="4" max="4" width="23.7142857142857" style="697" customWidth="1"/>
    <col min="5" max="5" width="21.7142857142857" style="698" hidden="1" customWidth="1" outlineLevel="1"/>
    <col min="6" max="6" width="14.4285714285714" style="696" bestFit="1" customWidth="1" collapsed="1"/>
    <col min="7" max="7" width="14.4285714285714" style="696" hidden="1" customWidth="1" outlineLevel="1" collapsed="1"/>
    <col min="8" max="8" width="2.71428571428571" style="696" customWidth="1" collapsed="1"/>
    <col min="9" max="11" width="9.42857142857143" style="696" bestFit="1" customWidth="1"/>
    <col min="12" max="12" width="2.71428571428571" style="696" customWidth="1"/>
    <col min="13" max="13" width="8.71428571428571" style="696" bestFit="1" customWidth="1"/>
    <col min="14" max="14" width="11.7142857142857" style="697" bestFit="1" customWidth="1"/>
    <col min="15" max="15" width="2.71428571428571" style="696" customWidth="1"/>
    <col min="16" max="16" width="13.4285714285714" style="696" bestFit="1" customWidth="1"/>
    <col min="17" max="17" width="14.2857142857143" style="699" bestFit="1" customWidth="1"/>
    <col min="18" max="18" width="2.71428571428571" style="696" customWidth="1"/>
    <col min="19" max="19" width="10.7142857142857" style="700" bestFit="1" customWidth="1"/>
    <col min="20" max="20" width="13.2857142857143" style="701" bestFit="1" customWidth="1"/>
    <col min="21" max="21" width="8.71428571428571" style="696" customWidth="1"/>
    <col min="22" max="16384" width="8.71428571428571" style="696"/>
  </cols>
  <sheetData>
    <row r="1" spans="1:21" ht="28.5">
      <c r="A1" s="173"/>
      <c r="B1" s="174" t="str">
        <f>MO.CompanyName</f>
        <v>American Financial Group, Inc.</v>
      </c>
      <c r="C1" s="175"/>
      <c r="D1" s="175"/>
      <c r="E1" s="177"/>
      <c r="F1" s="175"/>
      <c r="G1" s="175"/>
      <c r="H1" s="175"/>
      <c r="I1" s="175"/>
      <c r="J1" s="175"/>
      <c r="K1" s="175"/>
      <c r="L1" s="175"/>
      <c r="M1" s="175"/>
      <c r="N1" s="175"/>
      <c r="O1" s="175"/>
      <c r="P1" s="175"/>
      <c r="Q1" s="79"/>
      <c r="R1" s="175"/>
      <c r="S1" s="178"/>
      <c r="T1" s="175"/>
      <c r="U1" s="175"/>
    </row>
    <row r="2" spans="1:21" ht="15">
      <c r="A2" s="173"/>
      <c r="B2" s="176" t="s">
        <v>469</v>
      </c>
      <c r="C2" s="175"/>
      <c r="D2" s="175"/>
      <c r="E2" s="177"/>
      <c r="F2" s="175" t="str">
        <f>UL.MRQ</f>
        <v>Q3-2024</v>
      </c>
      <c r="G2" s="175"/>
      <c r="H2" s="175"/>
      <c r="I2" s="175"/>
      <c r="J2" s="175"/>
      <c r="K2" s="175"/>
      <c r="L2" s="175"/>
      <c r="M2" s="175"/>
      <c r="N2" s="175"/>
      <c r="O2" s="175"/>
      <c r="P2" s="175"/>
      <c r="Q2" s="79"/>
      <c r="R2" s="175"/>
      <c r="S2" s="178"/>
      <c r="T2" s="175"/>
      <c r="U2" s="175"/>
    </row>
    <row r="3" spans="1:21" ht="15">
      <c r="A3" s="173"/>
      <c r="B3" s="175"/>
      <c r="C3" s="175"/>
      <c r="D3" s="175"/>
      <c r="E3" s="177"/>
      <c r="F3" s="175"/>
      <c r="G3" s="175"/>
      <c r="H3" s="175"/>
      <c r="I3" s="175"/>
      <c r="J3" s="175"/>
      <c r="K3" s="175"/>
      <c r="L3" s="175"/>
      <c r="M3" s="175"/>
      <c r="N3" s="175"/>
      <c r="O3" s="175"/>
      <c r="P3" s="175"/>
      <c r="Q3" s="79"/>
      <c r="R3" s="175"/>
      <c r="S3" s="175"/>
      <c r="T3" s="175"/>
      <c r="U3" s="175"/>
    </row>
    <row r="4" spans="1:21" s="702" customFormat="1" ht="15">
      <c r="A4" s="173"/>
      <c r="B4" s="183"/>
      <c r="C4" s="191"/>
      <c r="D4" s="183"/>
      <c r="E4" s="183"/>
      <c r="F4" s="183"/>
      <c r="G4" s="183"/>
      <c r="H4" s="191"/>
      <c r="I4" s="184" t="s">
        <v>412</v>
      </c>
      <c r="J4" s="184"/>
      <c r="K4" s="184"/>
      <c r="L4" s="191"/>
      <c r="M4" s="184" t="s">
        <v>413</v>
      </c>
      <c r="N4" s="184"/>
      <c r="O4" s="191"/>
      <c r="P4" s="184" t="s">
        <v>414</v>
      </c>
      <c r="Q4" s="184"/>
      <c r="R4" s="191"/>
      <c r="S4" s="184" t="s">
        <v>415</v>
      </c>
      <c r="T4" s="184"/>
      <c r="U4" s="178"/>
    </row>
    <row r="5" spans="1:21" s="703" customFormat="1" ht="15">
      <c r="A5" s="173"/>
      <c r="B5" s="183" t="s">
        <v>416</v>
      </c>
      <c r="C5" s="192"/>
      <c r="D5" s="183" t="s">
        <v>417</v>
      </c>
      <c r="E5" s="183" t="s">
        <v>418</v>
      </c>
      <c r="F5" s="183" t="s">
        <v>419</v>
      </c>
      <c r="G5" s="183" t="s">
        <v>437</v>
      </c>
      <c r="H5" s="192"/>
      <c r="I5" s="185" t="s">
        <v>389</v>
      </c>
      <c r="J5" s="185" t="s">
        <v>388</v>
      </c>
      <c r="K5" s="185" t="s">
        <v>420</v>
      </c>
      <c r="L5" s="192"/>
      <c r="M5" s="183" t="s">
        <v>416</v>
      </c>
      <c r="N5" s="185" t="s">
        <v>421</v>
      </c>
      <c r="O5" s="192"/>
      <c r="P5" s="185" t="s">
        <v>422</v>
      </c>
      <c r="Q5" s="186" t="s">
        <v>423</v>
      </c>
      <c r="R5" s="192"/>
      <c r="S5" s="185" t="s">
        <v>424</v>
      </c>
      <c r="T5" s="185" t="s">
        <v>425</v>
      </c>
      <c r="U5" s="182"/>
    </row>
    <row r="6" spans="1:21" ht="15">
      <c r="A6" s="173">
        <v>52</v>
      </c>
      <c r="B6" s="187" t="str">
        <f>IF(INDEX(MO_SNA_IsHistoricalPeriod,,MATCH(F6,MO_Common_ColumnHeader,0)),"Historical","Forward")</f>
        <v>Forward</v>
      </c>
      <c r="C6" s="175"/>
      <c r="D6" s="193" t="str">
        <f ca="1">INDEX(INDIRECT(E6),0,COLUMN(MO_Common_Column_A))</f>
        <v>Core Net Operating Earnings Per Share - WAD</v>
      </c>
      <c r="E6" s="188" t="s">
        <v>507</v>
      </c>
      <c r="F6" s="187" t="s">
        <v>612</v>
      </c>
      <c r="G6" s="187"/>
      <c r="H6" s="175"/>
      <c r="I6" s="189">
        <v>11</v>
      </c>
      <c r="J6" s="189">
        <v>11</v>
      </c>
      <c r="K6" s="189">
        <f>AVERAGE(I6,J6)</f>
        <v>11</v>
      </c>
      <c r="L6" s="175"/>
      <c r="M6" s="187" t="s">
        <v>427</v>
      </c>
      <c r="N6" s="429">
        <f ca="1">IFERROR(INDEX(INDIRECT(E6),0,MATCH(F6,MO_Common_ColumnHeader,0)),"N/A")</f>
        <v>10.943298147184773</v>
      </c>
      <c r="O6" s="175"/>
      <c r="P6" s="430">
        <f ca="1">IF(ISNUMBER(N6),N6-K6,"N/A")</f>
        <v>-0.056701852815226772</v>
      </c>
      <c r="Q6" s="457">
        <f ca="1">IFERROR(IF(ISNUMBER(N6),(N6-K6)/ABS(K6),"N/A"),"N/A")</f>
        <v>-0.0051547138922933425</v>
      </c>
      <c r="R6" s="175"/>
      <c r="S6" s="190">
        <v>45328</v>
      </c>
      <c r="T6" s="194" t="s">
        <v>428</v>
      </c>
      <c r="U6" s="175"/>
    </row>
    <row r="7" spans="1:21" ht="15">
      <c r="A7" s="173">
        <v>51</v>
      </c>
      <c r="B7" s="175"/>
      <c r="C7" s="175"/>
      <c r="D7" s="176"/>
      <c r="E7" s="177"/>
      <c r="F7" s="175"/>
      <c r="G7" s="175"/>
      <c r="H7" s="175"/>
      <c r="I7" s="179"/>
      <c r="J7" s="179"/>
      <c r="K7" s="179"/>
      <c r="L7" s="175"/>
      <c r="M7" s="175"/>
      <c r="N7" s="179"/>
      <c r="O7" s="175"/>
      <c r="P7" s="180"/>
      <c r="Q7" s="85"/>
      <c r="R7" s="175"/>
      <c r="S7" s="181"/>
      <c r="T7" s="195"/>
      <c r="U7" s="175"/>
    </row>
    <row r="8" spans="1:21" ht="15">
      <c r="A8" s="173">
        <v>50</v>
      </c>
      <c r="B8" s="187" t="str">
        <f>IF(INDEX(MO_SNA_IsHistoricalPeriod,,MATCH(F8,MO_Common_ColumnHeader,0)),"Historical","Forward")</f>
        <v>Historical</v>
      </c>
      <c r="C8" s="175"/>
      <c r="D8" s="193" t="str">
        <f ca="1">INDEX(INDIRECT(E8),0,COLUMN(MO_Common_Column_A))</f>
        <v>Core Net Operating Earnings Per Share - WAD</v>
      </c>
      <c r="E8" s="188" t="s">
        <v>507</v>
      </c>
      <c r="F8" s="187" t="s">
        <v>576</v>
      </c>
      <c r="G8" s="187"/>
      <c r="H8" s="175"/>
      <c r="I8" s="189">
        <v>10.15</v>
      </c>
      <c r="J8" s="189">
        <v>11.15</v>
      </c>
      <c r="K8" s="189">
        <f>AVERAGE(I8,J8)</f>
        <v>10.65</v>
      </c>
      <c r="L8" s="175"/>
      <c r="M8" s="187" t="s">
        <v>427</v>
      </c>
      <c r="N8" s="429">
        <f ca="1">IFERROR(INDEX(INDIRECT(E8),0,MATCH(F8,MO_Common_ColumnHeader,0)),"N/A")</f>
        <v>10.554245283018869</v>
      </c>
      <c r="O8" s="175"/>
      <c r="P8" s="430">
        <f ca="1">IF(ISNUMBER(N8),N8-K8,"N/A")</f>
        <v>-0.095754716981131693</v>
      </c>
      <c r="Q8" s="457">
        <f ca="1">IFERROR(IF(ISNUMBER(N8),(N8-K8)/ABS(K8),"N/A"),"N/A")</f>
        <v>-0.0089910532376649473</v>
      </c>
      <c r="R8" s="175"/>
      <c r="S8" s="190">
        <v>45233</v>
      </c>
      <c r="T8" s="194" t="s">
        <v>428</v>
      </c>
      <c r="U8" s="175"/>
    </row>
    <row r="9" spans="1:21" ht="15">
      <c r="A9" s="173">
        <v>49</v>
      </c>
      <c r="B9" s="175"/>
      <c r="C9" s="175"/>
      <c r="D9" s="176"/>
      <c r="E9" s="177"/>
      <c r="F9" s="175"/>
      <c r="G9" s="175"/>
      <c r="H9" s="175"/>
      <c r="I9" s="179"/>
      <c r="J9" s="179"/>
      <c r="K9" s="179"/>
      <c r="L9" s="175"/>
      <c r="M9" s="175"/>
      <c r="N9" s="179"/>
      <c r="O9" s="175"/>
      <c r="P9" s="180"/>
      <c r="Q9" s="85"/>
      <c r="R9" s="175"/>
      <c r="S9" s="181"/>
      <c r="T9" s="195"/>
      <c r="U9" s="175"/>
    </row>
    <row r="10" spans="1:21" ht="15">
      <c r="A10" s="173">
        <v>48</v>
      </c>
      <c r="B10" s="187" t="str">
        <f>IF(INDEX(MO_SNA_IsHistoricalPeriod,,MATCH(F10,MO_Common_ColumnHeader,0)),"Historical","Forward")</f>
        <v>Historical</v>
      </c>
      <c r="C10" s="175"/>
      <c r="D10" s="193" t="str">
        <f ca="1">INDEX(INDIRECT(E10),0,COLUMN(MO_Common_Column_A))</f>
        <v>Core Net Operating Earnings Per Share - WAD</v>
      </c>
      <c r="E10" s="188" t="s">
        <v>507</v>
      </c>
      <c r="F10" s="187" t="s">
        <v>576</v>
      </c>
      <c r="G10" s="187"/>
      <c r="H10" s="175"/>
      <c r="I10" s="189">
        <v>10.15</v>
      </c>
      <c r="J10" s="189">
        <v>11.15</v>
      </c>
      <c r="K10" s="189">
        <f>AVERAGE(I10,J10)</f>
        <v>10.65</v>
      </c>
      <c r="L10" s="175"/>
      <c r="M10" s="187" t="s">
        <v>427</v>
      </c>
      <c r="N10" s="429">
        <f ca="1">IFERROR(INDEX(INDIRECT(E10),0,MATCH(F10,MO_Common_ColumnHeader,0)),"N/A")</f>
        <v>10.554245283018869</v>
      </c>
      <c r="O10" s="175"/>
      <c r="P10" s="430">
        <f ca="1">IF(ISNUMBER(N10),N10-K10,"N/A")</f>
        <v>-0.095754716981131693</v>
      </c>
      <c r="Q10" s="457">
        <f ca="1">IFERROR(IF(ISNUMBER(N10),(N10-K10)/ABS(K10),"N/A"),"N/A")</f>
        <v>-0.0089910532376649473</v>
      </c>
      <c r="R10" s="175"/>
      <c r="S10" s="190">
        <v>45140</v>
      </c>
      <c r="T10" s="194" t="s">
        <v>428</v>
      </c>
      <c r="U10" s="175"/>
    </row>
    <row r="11" spans="1:21" ht="15">
      <c r="A11" s="173">
        <v>47</v>
      </c>
      <c r="B11" s="175"/>
      <c r="C11" s="175"/>
      <c r="D11" s="176"/>
      <c r="E11" s="177"/>
      <c r="F11" s="175"/>
      <c r="G11" s="175"/>
      <c r="H11" s="175"/>
      <c r="I11" s="179"/>
      <c r="J11" s="179"/>
      <c r="K11" s="179"/>
      <c r="L11" s="175"/>
      <c r="M11" s="175"/>
      <c r="N11" s="179"/>
      <c r="O11" s="175"/>
      <c r="P11" s="180"/>
      <c r="Q11" s="85"/>
      <c r="R11" s="175"/>
      <c r="S11" s="181"/>
      <c r="T11" s="195"/>
      <c r="U11" s="175"/>
    </row>
    <row r="12" spans="1:21" ht="15">
      <c r="A12" s="173">
        <v>46</v>
      </c>
      <c r="B12" s="187" t="str">
        <f>IF(INDEX(MO_SNA_IsHistoricalPeriod,,MATCH(F12,MO_Common_ColumnHeader,0)),"Historical","Forward")</f>
        <v>Historical</v>
      </c>
      <c r="C12" s="175"/>
      <c r="D12" s="193" t="str">
        <f ca="1">INDEX(INDIRECT(E12),0,COLUMN(MO_Common_Column_A))</f>
        <v>Core Net Operating Earnings Per Share - WAD</v>
      </c>
      <c r="E12" s="188" t="s">
        <v>507</v>
      </c>
      <c r="F12" s="187" t="s">
        <v>576</v>
      </c>
      <c r="G12" s="187"/>
      <c r="H12" s="175"/>
      <c r="I12" s="189">
        <v>11</v>
      </c>
      <c r="J12" s="189">
        <v>12</v>
      </c>
      <c r="K12" s="189">
        <f>AVERAGE(I12,J12)</f>
        <v>11.50</v>
      </c>
      <c r="L12" s="175"/>
      <c r="M12" s="187" t="s">
        <v>427</v>
      </c>
      <c r="N12" s="429">
        <f ca="1">IFERROR(INDEX(INDIRECT(E12),0,MATCH(F12,MO_Common_ColumnHeader,0)),"N/A")</f>
        <v>10.554245283018869</v>
      </c>
      <c r="O12" s="175"/>
      <c r="P12" s="430">
        <f ca="1">IF(ISNUMBER(N12),N12-K12,"N/A")</f>
        <v>-0.94575471698113134</v>
      </c>
      <c r="Q12" s="457">
        <f ca="1">IFERROR(IF(ISNUMBER(N12),(N12-K12)/ABS(K12),"N/A"),"N/A")</f>
        <v>-0.082239540607054892</v>
      </c>
      <c r="R12" s="175"/>
      <c r="S12" s="190">
        <v>44962</v>
      </c>
      <c r="T12" s="194" t="s">
        <v>428</v>
      </c>
      <c r="U12" s="175"/>
    </row>
    <row r="13" spans="1:21" ht="15">
      <c r="A13" s="173">
        <v>45</v>
      </c>
      <c r="B13" s="175"/>
      <c r="C13" s="175"/>
      <c r="D13" s="176"/>
      <c r="E13" s="177"/>
      <c r="F13" s="175"/>
      <c r="G13" s="175"/>
      <c r="H13" s="175"/>
      <c r="I13" s="179"/>
      <c r="J13" s="179"/>
      <c r="K13" s="179"/>
      <c r="L13" s="175"/>
      <c r="M13" s="175"/>
      <c r="N13" s="179"/>
      <c r="O13" s="175"/>
      <c r="P13" s="180"/>
      <c r="Q13" s="85"/>
      <c r="R13" s="175"/>
      <c r="S13" s="181"/>
      <c r="T13" s="195"/>
      <c r="U13" s="175"/>
    </row>
    <row r="14" spans="1:21" ht="15">
      <c r="A14" s="173">
        <v>44</v>
      </c>
      <c r="B14" s="187" t="str">
        <f>IF(INDEX(MO_SNA_IsHistoricalPeriod,,MATCH(F14,MO_Common_ColumnHeader,0)),"Historical","Forward")</f>
        <v>Historical</v>
      </c>
      <c r="C14" s="175"/>
      <c r="D14" s="193" t="str">
        <f ca="1">INDEX(INDIRECT(E14),0,COLUMN(MO_Common_Column_A))</f>
        <v>Core Net Operating Earnings Per Share - WAD</v>
      </c>
      <c r="E14" s="188" t="s">
        <v>507</v>
      </c>
      <c r="F14" s="187" t="s">
        <v>576</v>
      </c>
      <c r="G14" s="187"/>
      <c r="H14" s="175"/>
      <c r="I14" s="189">
        <v>11</v>
      </c>
      <c r="J14" s="189">
        <v>12</v>
      </c>
      <c r="K14" s="189">
        <f>AVERAGE(I14,J14)</f>
        <v>11.50</v>
      </c>
      <c r="L14" s="175"/>
      <c r="M14" s="187" t="s">
        <v>427</v>
      </c>
      <c r="N14" s="429">
        <f ca="1">IFERROR(INDEX(INDIRECT(E14),0,MATCH(F14,MO_Common_ColumnHeader,0)),"N/A")</f>
        <v>10.554245283018869</v>
      </c>
      <c r="O14" s="175"/>
      <c r="P14" s="430">
        <f ca="1">IF(ISNUMBER(N14),N14-K14,"N/A")</f>
        <v>-0.94575471698113134</v>
      </c>
      <c r="Q14" s="457">
        <f ca="1">IFERROR(IF(ISNUMBER(N14),(N14-K14)/ABS(K14),"N/A"),"N/A")</f>
        <v>-0.082239540607054892</v>
      </c>
      <c r="R14" s="175"/>
      <c r="S14" s="190">
        <v>44958</v>
      </c>
      <c r="T14" s="194" t="s">
        <v>428</v>
      </c>
      <c r="U14" s="175"/>
    </row>
    <row r="15" spans="1:21" ht="15">
      <c r="A15" s="173">
        <v>43</v>
      </c>
      <c r="B15" s="175"/>
      <c r="C15" s="175"/>
      <c r="D15" s="176"/>
      <c r="E15" s="177"/>
      <c r="F15" s="175"/>
      <c r="G15" s="175"/>
      <c r="H15" s="175"/>
      <c r="I15" s="179"/>
      <c r="J15" s="179"/>
      <c r="K15" s="179"/>
      <c r="L15" s="175"/>
      <c r="M15" s="175"/>
      <c r="N15" s="179"/>
      <c r="O15" s="175"/>
      <c r="P15" s="180"/>
      <c r="Q15" s="85"/>
      <c r="R15" s="175"/>
      <c r="S15" s="181"/>
      <c r="T15" s="195"/>
      <c r="U15" s="175"/>
    </row>
    <row r="16" spans="1:21" ht="15">
      <c r="A16" s="173">
        <v>42</v>
      </c>
      <c r="B16" s="187" t="str">
        <f>IF(INDEX(MO_SNA_IsHistoricalPeriod,,MATCH(F16,MO_Common_ColumnHeader,0)),"Historical","Forward")</f>
        <v>Historical</v>
      </c>
      <c r="C16" s="175"/>
      <c r="D16" s="193" t="str">
        <f ca="1">INDEX(INDIRECT(E16),0,COLUMN(MO_Common_Column_A))</f>
        <v>Core Net Operating Earnings Per Share - WAD</v>
      </c>
      <c r="E16" s="188" t="s">
        <v>507</v>
      </c>
      <c r="F16" s="187" t="s">
        <v>534</v>
      </c>
      <c r="G16" s="187"/>
      <c r="H16" s="175"/>
      <c r="I16" s="189">
        <v>11</v>
      </c>
      <c r="J16" s="189">
        <v>11.75</v>
      </c>
      <c r="K16" s="189">
        <f>AVERAGE(I16,J16)</f>
        <v>11.375</v>
      </c>
      <c r="L16" s="175"/>
      <c r="M16" s="187" t="s">
        <v>427</v>
      </c>
      <c r="N16" s="429">
        <f ca="1">IFERROR(INDEX(INDIRECT(E16),0,MATCH(F16,MO_Common_ColumnHeader,0)),"N/A")</f>
        <v>11.64126611957796</v>
      </c>
      <c r="O16" s="175"/>
      <c r="P16" s="430">
        <f ca="1">IF(ISNUMBER(N16),N16-K16,"N/A")</f>
        <v>0.26626611957795987</v>
      </c>
      <c r="Q16" s="457">
        <f ca="1">IFERROR(IF(ISNUMBER(N16),(N16-K16)/ABS(K16),"N/A"),"N/A")</f>
        <v>0.023408010512348119</v>
      </c>
      <c r="R16" s="175"/>
      <c r="S16" s="190">
        <v>44867</v>
      </c>
      <c r="T16" s="194" t="s">
        <v>428</v>
      </c>
      <c r="U16" s="175"/>
    </row>
    <row r="17" spans="1:21" ht="15">
      <c r="A17" s="173">
        <v>41</v>
      </c>
      <c r="B17" s="175"/>
      <c r="C17" s="175"/>
      <c r="D17" s="176"/>
      <c r="E17" s="177"/>
      <c r="F17" s="175"/>
      <c r="G17" s="175"/>
      <c r="H17" s="175"/>
      <c r="I17" s="179"/>
      <c r="J17" s="179"/>
      <c r="K17" s="179"/>
      <c r="L17" s="175"/>
      <c r="M17" s="175"/>
      <c r="N17" s="179"/>
      <c r="O17" s="175"/>
      <c r="P17" s="180"/>
      <c r="Q17" s="85"/>
      <c r="R17" s="175"/>
      <c r="S17" s="181"/>
      <c r="T17" s="195"/>
      <c r="U17" s="175"/>
    </row>
    <row r="18" spans="1:21" ht="15">
      <c r="A18" s="173">
        <v>40</v>
      </c>
      <c r="B18" s="187" t="str">
        <f>IF(INDEX(MO_SNA_IsHistoricalPeriod,,MATCH(F18,MO_Common_ColumnHeader,0)),"Historical","Forward")</f>
        <v>Historical</v>
      </c>
      <c r="C18" s="175"/>
      <c r="D18" s="193" t="str">
        <f ca="1">INDEX(INDIRECT(E18),0,COLUMN(MO_Common_Column_A))</f>
        <v>Core Net Operating Earnings Per Share - WAD</v>
      </c>
      <c r="E18" s="188" t="s">
        <v>507</v>
      </c>
      <c r="F18" s="187" t="s">
        <v>534</v>
      </c>
      <c r="G18" s="187"/>
      <c r="H18" s="175"/>
      <c r="I18" s="189">
        <v>10.75</v>
      </c>
      <c r="J18" s="189">
        <v>11.75</v>
      </c>
      <c r="K18" s="189">
        <f>AVERAGE(I18,J18)</f>
        <v>11.25</v>
      </c>
      <c r="L18" s="175"/>
      <c r="M18" s="187" t="s">
        <v>427</v>
      </c>
      <c r="N18" s="429">
        <f ca="1">IFERROR(INDEX(INDIRECT(E18),0,MATCH(F18,MO_Common_ColumnHeader,0)),"N/A")</f>
        <v>11.64126611957796</v>
      </c>
      <c r="O18" s="175"/>
      <c r="P18" s="430">
        <f ca="1">IF(ISNUMBER(N18),N18-K18,"N/A")</f>
        <v>0.39126611957795987</v>
      </c>
      <c r="Q18" s="457">
        <f ca="1">IFERROR(IF(ISNUMBER(N18),(N18-K18)/ABS(K18),"N/A"),"N/A")</f>
        <v>0.034779210629151985</v>
      </c>
      <c r="R18" s="175"/>
      <c r="S18" s="190">
        <v>44776</v>
      </c>
      <c r="T18" s="194" t="s">
        <v>428</v>
      </c>
      <c r="U18" s="175"/>
    </row>
    <row r="19" spans="1:21" ht="15">
      <c r="A19" s="173">
        <v>39</v>
      </c>
      <c r="B19" s="175"/>
      <c r="C19" s="175"/>
      <c r="D19" s="176"/>
      <c r="E19" s="177"/>
      <c r="F19" s="175"/>
      <c r="G19" s="175"/>
      <c r="H19" s="175"/>
      <c r="I19" s="179"/>
      <c r="J19" s="179"/>
      <c r="K19" s="179"/>
      <c r="L19" s="175"/>
      <c r="M19" s="175"/>
      <c r="N19" s="179"/>
      <c r="O19" s="175"/>
      <c r="P19" s="180"/>
      <c r="Q19" s="85"/>
      <c r="R19" s="175"/>
      <c r="S19" s="181"/>
      <c r="T19" s="195"/>
      <c r="U19" s="175"/>
    </row>
    <row r="20" spans="1:21" ht="15">
      <c r="A20" s="173">
        <v>38</v>
      </c>
      <c r="B20" s="187" t="str">
        <f>IF(INDEX(MO_SNA_IsHistoricalPeriod,,MATCH(F20,MO_Common_ColumnHeader,0)),"Historical","Forward")</f>
        <v>Historical</v>
      </c>
      <c r="C20" s="175"/>
      <c r="D20" s="193" t="str">
        <f ca="1">INDEX(INDIRECT(E20),0,COLUMN(MO_Common_Column_A))</f>
        <v>Core Net Operating Earnings Per Share - WAD</v>
      </c>
      <c r="E20" s="188" t="s">
        <v>507</v>
      </c>
      <c r="F20" s="187" t="s">
        <v>534</v>
      </c>
      <c r="G20" s="187"/>
      <c r="H20" s="175"/>
      <c r="I20" s="189">
        <v>10.50</v>
      </c>
      <c r="J20" s="189">
        <v>11.50</v>
      </c>
      <c r="K20" s="189">
        <f>AVERAGE(I20,J20)</f>
        <v>11</v>
      </c>
      <c r="L20" s="175"/>
      <c r="M20" s="187" t="s">
        <v>427</v>
      </c>
      <c r="N20" s="429">
        <f ca="1">IFERROR(INDEX(INDIRECT(E20),0,MATCH(F20,MO_Common_ColumnHeader,0)),"N/A")</f>
        <v>11.64126611957796</v>
      </c>
      <c r="O20" s="175"/>
      <c r="P20" s="430">
        <f ca="1">IF(ISNUMBER(N20),N20-K20,"N/A")</f>
        <v>0.64126611957795987</v>
      </c>
      <c r="Q20" s="457">
        <f ca="1">IFERROR(IF(ISNUMBER(N20),(N20-K20)/ABS(K20),"N/A"),"N/A")</f>
        <v>0.058296919961632714</v>
      </c>
      <c r="R20" s="175"/>
      <c r="S20" s="190">
        <v>44686</v>
      </c>
      <c r="T20" s="194" t="s">
        <v>428</v>
      </c>
      <c r="U20" s="175"/>
    </row>
    <row r="21" spans="1:21" ht="15">
      <c r="A21" s="173">
        <v>37</v>
      </c>
      <c r="B21" s="175"/>
      <c r="C21" s="175"/>
      <c r="D21" s="176"/>
      <c r="E21" s="177"/>
      <c r="F21" s="175"/>
      <c r="G21" s="175"/>
      <c r="H21" s="175"/>
      <c r="I21" s="179"/>
      <c r="J21" s="179"/>
      <c r="K21" s="179"/>
      <c r="L21" s="175"/>
      <c r="M21" s="175"/>
      <c r="N21" s="179"/>
      <c r="O21" s="175"/>
      <c r="P21" s="180"/>
      <c r="Q21" s="85"/>
      <c r="R21" s="175"/>
      <c r="S21" s="181"/>
      <c r="T21" s="195"/>
      <c r="U21" s="175"/>
    </row>
    <row r="22" spans="1:21" ht="15">
      <c r="A22" s="173">
        <v>36</v>
      </c>
      <c r="B22" s="187" t="str">
        <f>IF(INDEX(MO_SNA_IsHistoricalPeriod,,MATCH(F22,MO_Common_ColumnHeader,0)),"Historical","Forward")</f>
        <v>Historical</v>
      </c>
      <c r="C22" s="175"/>
      <c r="D22" s="193" t="str">
        <f ca="1">INDEX(INDIRECT(E22),0,COLUMN(MO_Common_Column_A))</f>
        <v>Core Net Operating Earnings Per Share - WAD</v>
      </c>
      <c r="E22" s="188" t="s">
        <v>507</v>
      </c>
      <c r="F22" s="187" t="s">
        <v>534</v>
      </c>
      <c r="G22" s="187"/>
      <c r="H22" s="175"/>
      <c r="I22" s="189">
        <v>9.75</v>
      </c>
      <c r="J22" s="189">
        <v>10.75</v>
      </c>
      <c r="K22" s="189">
        <f>AVERAGE(I22,J22)</f>
        <v>10.25</v>
      </c>
      <c r="L22" s="175"/>
      <c r="M22" s="187" t="s">
        <v>427</v>
      </c>
      <c r="N22" s="429">
        <f ca="1">IFERROR(INDEX(INDIRECT(E22),0,MATCH(F22,MO_Common_ColumnHeader,0)),"N/A")</f>
        <v>11.64126611957796</v>
      </c>
      <c r="O22" s="175"/>
      <c r="P22" s="430">
        <f ca="1">IF(ISNUMBER(N22),N22-K22,"N/A")</f>
        <v>1.3912661195779599</v>
      </c>
      <c r="Q22" s="457">
        <f ca="1">IFERROR(IF(ISNUMBER(N22),(N22-K22)/ABS(K22),"N/A"),"N/A")</f>
        <v>0.13573327995882536</v>
      </c>
      <c r="R22" s="175"/>
      <c r="S22" s="190">
        <v>44601</v>
      </c>
      <c r="T22" s="194" t="s">
        <v>428</v>
      </c>
      <c r="U22" s="175"/>
    </row>
    <row r="23" spans="1:21" ht="15">
      <c r="A23" s="173">
        <v>35</v>
      </c>
      <c r="B23" s="175"/>
      <c r="C23" s="175"/>
      <c r="D23" s="176"/>
      <c r="E23" s="177"/>
      <c r="F23" s="175"/>
      <c r="G23" s="175"/>
      <c r="H23" s="175"/>
      <c r="I23" s="179"/>
      <c r="J23" s="179"/>
      <c r="K23" s="179"/>
      <c r="L23" s="175"/>
      <c r="M23" s="175"/>
      <c r="N23" s="179"/>
      <c r="O23" s="175"/>
      <c r="P23" s="180"/>
      <c r="Q23" s="85"/>
      <c r="R23" s="175"/>
      <c r="S23" s="181"/>
      <c r="T23" s="195"/>
      <c r="U23" s="175"/>
    </row>
    <row r="24" spans="1:21" ht="15">
      <c r="A24" s="173">
        <v>34</v>
      </c>
      <c r="B24" s="187" t="str">
        <f>IF(INDEX(MO_SNA_IsHistoricalPeriod,,MATCH(F24,MO_Common_ColumnHeader,0)),"Historical","Forward")</f>
        <v>Historical</v>
      </c>
      <c r="C24" s="175"/>
      <c r="D24" s="193" t="str">
        <f ca="1">INDEX(INDIRECT(E24),0,COLUMN(MO_Common_Column_A))</f>
        <v>Core Net Operating Earnings Per Share - WAD</v>
      </c>
      <c r="E24" s="188" t="s">
        <v>507</v>
      </c>
      <c r="F24" s="187" t="s">
        <v>516</v>
      </c>
      <c r="G24" s="187"/>
      <c r="H24" s="175"/>
      <c r="I24" s="189">
        <v>10.10</v>
      </c>
      <c r="J24" s="189">
        <v>10.70</v>
      </c>
      <c r="K24" s="189">
        <f>AVERAGE(I24,J24)</f>
        <v>10.40</v>
      </c>
      <c r="L24" s="175"/>
      <c r="M24" s="187" t="s">
        <v>427</v>
      </c>
      <c r="N24" s="429">
        <f ca="1">IFERROR(INDEX(INDIRECT(E24),0,MATCH(F24,MO_Common_ColumnHeader,0)),"N/A")</f>
        <v>11.600467289719626</v>
      </c>
      <c r="O24" s="175"/>
      <c r="P24" s="430">
        <f ca="1">IF(ISNUMBER(N24),N24-K24,"N/A")</f>
        <v>1.2004672897196276</v>
      </c>
      <c r="Q24" s="457">
        <f ca="1">IFERROR(IF(ISNUMBER(N24),(N24-K24)/ABS(K24),"N/A"),"N/A")</f>
        <v>0.11542954708842575</v>
      </c>
      <c r="R24" s="175"/>
      <c r="S24" s="190">
        <v>44502</v>
      </c>
      <c r="T24" s="194" t="s">
        <v>428</v>
      </c>
      <c r="U24" s="175"/>
    </row>
    <row r="25" spans="1:21" ht="15">
      <c r="A25" s="173">
        <v>33</v>
      </c>
      <c r="B25" s="175"/>
      <c r="C25" s="175"/>
      <c r="D25" s="176"/>
      <c r="E25" s="177"/>
      <c r="F25" s="175"/>
      <c r="G25" s="175"/>
      <c r="H25" s="175"/>
      <c r="I25" s="179"/>
      <c r="J25" s="179"/>
      <c r="K25" s="179"/>
      <c r="L25" s="175"/>
      <c r="M25" s="175"/>
      <c r="N25" s="179"/>
      <c r="O25" s="175"/>
      <c r="P25" s="180"/>
      <c r="Q25" s="85"/>
      <c r="R25" s="175"/>
      <c r="S25" s="181"/>
      <c r="T25" s="195"/>
      <c r="U25" s="175"/>
    </row>
    <row r="26" spans="1:21" ht="15">
      <c r="A26" s="173">
        <v>32</v>
      </c>
      <c r="B26" s="187" t="str">
        <f>IF(INDEX(MO_SNA_IsHistoricalPeriod,,MATCH(F26,MO_Common_ColumnHeader,0)),"Historical","Forward")</f>
        <v>Historical</v>
      </c>
      <c r="C26" s="175"/>
      <c r="D26" s="193" t="str">
        <f ca="1">INDEX(INDIRECT(E26),0,COLUMN(MO_Common_Column_A))</f>
        <v>Core Net Operating Earnings Per Share - WAD</v>
      </c>
      <c r="E26" s="188" t="s">
        <v>507</v>
      </c>
      <c r="F26" s="187" t="s">
        <v>516</v>
      </c>
      <c r="G26" s="187"/>
      <c r="H26" s="175"/>
      <c r="I26" s="189">
        <v>8.40</v>
      </c>
      <c r="J26" s="189">
        <v>9.1999999999999993</v>
      </c>
      <c r="K26" s="189">
        <f>AVERAGE(I26,J26)</f>
        <v>8.8000000000000007</v>
      </c>
      <c r="L26" s="175"/>
      <c r="M26" s="187" t="s">
        <v>427</v>
      </c>
      <c r="N26" s="429">
        <f ca="1">IFERROR(INDEX(INDIRECT(E26),0,MATCH(F26,MO_Common_ColumnHeader,0)),"N/A")</f>
        <v>11.600467289719626</v>
      </c>
      <c r="O26" s="175"/>
      <c r="P26" s="430">
        <f ca="1">IF(ISNUMBER(N26),N26-K26,"N/A")</f>
        <v>2.8004672897196254</v>
      </c>
      <c r="Q26" s="457">
        <f ca="1">IFERROR(IF(ISNUMBER(N26),(N26-K26)/ABS(K26),"N/A"),"N/A")</f>
        <v>0.31823491928632103</v>
      </c>
      <c r="R26" s="175"/>
      <c r="S26" s="190">
        <v>44411</v>
      </c>
      <c r="T26" s="194" t="s">
        <v>428</v>
      </c>
      <c r="U26" s="175"/>
    </row>
    <row r="27" spans="1:21" ht="15">
      <c r="A27" s="173">
        <v>31</v>
      </c>
      <c r="B27" s="175"/>
      <c r="C27" s="175"/>
      <c r="D27" s="176"/>
      <c r="E27" s="177"/>
      <c r="F27" s="175"/>
      <c r="G27" s="175"/>
      <c r="H27" s="175"/>
      <c r="I27" s="179"/>
      <c r="J27" s="179"/>
      <c r="K27" s="179"/>
      <c r="L27" s="175"/>
      <c r="M27" s="175"/>
      <c r="N27" s="179"/>
      <c r="O27" s="175"/>
      <c r="P27" s="180"/>
      <c r="Q27" s="85"/>
      <c r="R27" s="175"/>
      <c r="S27" s="181"/>
      <c r="T27" s="195"/>
      <c r="U27" s="175"/>
    </row>
    <row r="28" spans="1:21" ht="15">
      <c r="A28" s="173">
        <v>30</v>
      </c>
      <c r="B28" s="187" t="str">
        <f>IF(INDEX(MO_SNA_IsHistoricalPeriod,,MATCH(F28,MO_Common_ColumnHeader,0)),"Historical","Forward")</f>
        <v>Historical</v>
      </c>
      <c r="C28" s="175"/>
      <c r="D28" s="193" t="str">
        <f ca="1">INDEX(INDIRECT(E28),0,COLUMN(MO_Common_Column_A))</f>
        <v>Core Net Operating Earnings Per Share - WAD</v>
      </c>
      <c r="E28" s="188" t="s">
        <v>507</v>
      </c>
      <c r="F28" s="187" t="s">
        <v>516</v>
      </c>
      <c r="G28" s="187"/>
      <c r="H28" s="175"/>
      <c r="I28" s="189">
        <v>7</v>
      </c>
      <c r="J28" s="189">
        <v>8</v>
      </c>
      <c r="K28" s="189">
        <f>AVERAGE(I28,J28)</f>
        <v>7.50</v>
      </c>
      <c r="L28" s="175"/>
      <c r="M28" s="187" t="s">
        <v>427</v>
      </c>
      <c r="N28" s="429">
        <f ca="1">IFERROR(INDEX(INDIRECT(E28),0,MATCH(F28,MO_Common_ColumnHeader,0)),"N/A")</f>
        <v>11.600467289719626</v>
      </c>
      <c r="O28" s="175"/>
      <c r="P28" s="430">
        <f ca="1">IF(ISNUMBER(N28),N28-K28,"N/A")</f>
        <v>4.1004672897196262</v>
      </c>
      <c r="Q28" s="457">
        <f ca="1">IFERROR(IF(ISNUMBER(N28),(N28-K28)/ABS(K28),"N/A"),"N/A")</f>
        <v>0.54672897196261683</v>
      </c>
      <c r="R28" s="175"/>
      <c r="S28" s="190">
        <v>44320</v>
      </c>
      <c r="T28" s="194" t="s">
        <v>428</v>
      </c>
      <c r="U28" s="175"/>
    </row>
    <row r="29" spans="1:21" ht="15">
      <c r="A29" s="173">
        <v>29</v>
      </c>
      <c r="B29" s="175"/>
      <c r="C29" s="175"/>
      <c r="D29" s="176"/>
      <c r="E29" s="177"/>
      <c r="F29" s="175"/>
      <c r="G29" s="175"/>
      <c r="H29" s="175"/>
      <c r="I29" s="179"/>
      <c r="J29" s="179"/>
      <c r="K29" s="179"/>
      <c r="L29" s="175"/>
      <c r="M29" s="175"/>
      <c r="N29" s="179"/>
      <c r="O29" s="175"/>
      <c r="P29" s="180"/>
      <c r="Q29" s="85"/>
      <c r="R29" s="175"/>
      <c r="S29" s="181"/>
      <c r="T29" s="195"/>
      <c r="U29" s="175"/>
    </row>
    <row r="30" spans="1:21" ht="15">
      <c r="A30" s="173">
        <v>28</v>
      </c>
      <c r="B30" s="187" t="str">
        <f>IF(INDEX(MO_SNA_IsHistoricalPeriod,,MATCH(F30,MO_Common_ColumnHeader,0)),"Historical","Forward")</f>
        <v>Historical</v>
      </c>
      <c r="C30" s="175"/>
      <c r="D30" s="193" t="s">
        <v>517</v>
      </c>
      <c r="E30" s="188"/>
      <c r="F30" s="187" t="s">
        <v>516</v>
      </c>
      <c r="G30" s="187"/>
      <c r="H30" s="175"/>
      <c r="I30" s="189">
        <v>5.90</v>
      </c>
      <c r="J30" s="189">
        <v>6.40</v>
      </c>
      <c r="K30" s="189">
        <f>AVERAGE(I30,J30)</f>
        <v>6.15</v>
      </c>
      <c r="L30" s="175"/>
      <c r="M30" s="187" t="s">
        <v>427</v>
      </c>
      <c r="N30" s="429" t="str">
        <f ca="1">IFERROR(INDEX(INDIRECT(E30),0,MATCH(F30,MO_Common_ColumnHeader,0)),"N/A")</f>
        <v>N/A</v>
      </c>
      <c r="O30" s="175"/>
      <c r="P30" s="430" t="str">
        <f ca="1">IF(ISNUMBER(N30),N30-K30,"N/A")</f>
        <v>N/A</v>
      </c>
      <c r="Q30" s="457" t="str">
        <f ca="1">IFERROR(IF(ISNUMBER(N30),(N30-K30)/ABS(K30),"N/A"),"N/A")</f>
        <v>N/A</v>
      </c>
      <c r="R30" s="175"/>
      <c r="S30" s="190">
        <v>44230</v>
      </c>
      <c r="T30" s="194" t="s">
        <v>428</v>
      </c>
      <c r="U30" s="175"/>
    </row>
    <row r="31" spans="1:21" ht="15">
      <c r="A31" s="173">
        <v>27</v>
      </c>
      <c r="B31" s="187" t="str">
        <f>IF(INDEX(MO_SNA_IsHistoricalPeriod,,MATCH(F31,MO_Common_ColumnHeader,0)),"Historical","Forward")</f>
        <v>Historical</v>
      </c>
      <c r="C31" s="175"/>
      <c r="D31" s="193" t="s">
        <v>518</v>
      </c>
      <c r="E31" s="188"/>
      <c r="F31" s="187" t="s">
        <v>516</v>
      </c>
      <c r="G31" s="187"/>
      <c r="H31" s="175"/>
      <c r="I31" s="189">
        <v>0.31</v>
      </c>
      <c r="J31" s="189">
        <v>0.31</v>
      </c>
      <c r="K31" s="189">
        <f>AVERAGE(I31,J31)</f>
        <v>0.31</v>
      </c>
      <c r="L31" s="175"/>
      <c r="M31" s="187" t="s">
        <v>427</v>
      </c>
      <c r="N31" s="429" t="str">
        <f ca="1">IFERROR(INDEX(INDIRECT(E31),0,MATCH(F31,MO_Common_ColumnHeader,0)),"N/A")</f>
        <v>N/A</v>
      </c>
      <c r="O31" s="175"/>
      <c r="P31" s="430" t="str">
        <f ca="1">IF(ISNUMBER(N31),N31-K31,"N/A")</f>
        <v>N/A</v>
      </c>
      <c r="Q31" s="457" t="str">
        <f ca="1">IFERROR(IF(ISNUMBER(N31),(N31-K31)/ABS(K31),"N/A"),"N/A")</f>
        <v>N/A</v>
      </c>
      <c r="R31" s="175"/>
      <c r="S31" s="190">
        <v>44230</v>
      </c>
      <c r="T31" s="194" t="s">
        <v>428</v>
      </c>
      <c r="U31" s="175"/>
    </row>
    <row r="32" spans="1:21" ht="15">
      <c r="A32" s="173">
        <v>26</v>
      </c>
      <c r="B32" s="187" t="str">
        <f>IF(INDEX(MO_SNA_IsHistoricalPeriod,,MATCH(F32,MO_Common_ColumnHeader,0)),"Historical","Forward")</f>
        <v>Historical</v>
      </c>
      <c r="C32" s="175"/>
      <c r="D32" s="193" t="s">
        <v>519</v>
      </c>
      <c r="E32" s="188"/>
      <c r="F32" s="187" t="s">
        <v>516</v>
      </c>
      <c r="G32" s="187"/>
      <c r="H32" s="175"/>
      <c r="I32" s="189">
        <v>0.04</v>
      </c>
      <c r="J32" s="189">
        <v>0.04</v>
      </c>
      <c r="K32" s="189">
        <f>AVERAGE(I32,J32)</f>
        <v>0.04</v>
      </c>
      <c r="L32" s="175"/>
      <c r="M32" s="187" t="s">
        <v>427</v>
      </c>
      <c r="N32" s="429" t="str">
        <f ca="1">IFERROR(INDEX(INDIRECT(E32),0,MATCH(F32,MO_Common_ColumnHeader,0)),"N/A")</f>
        <v>N/A</v>
      </c>
      <c r="O32" s="175"/>
      <c r="P32" s="430" t="str">
        <f ca="1">IF(ISNUMBER(N32),N32-K32,"N/A")</f>
        <v>N/A</v>
      </c>
      <c r="Q32" s="457" t="str">
        <f ca="1">IFERROR(IF(ISNUMBER(N32),(N32-K32)/ABS(K32),"N/A"),"N/A")</f>
        <v>N/A</v>
      </c>
      <c r="R32" s="175"/>
      <c r="S32" s="190">
        <v>44230</v>
      </c>
      <c r="T32" s="194" t="s">
        <v>428</v>
      </c>
      <c r="U32" s="175"/>
    </row>
    <row r="33" spans="1:21" ht="15">
      <c r="A33" s="173">
        <v>25</v>
      </c>
      <c r="B33" s="187" t="str">
        <f>IF(INDEX(MO_SNA_IsHistoricalPeriod,,MATCH(F33,MO_Common_ColumnHeader,0)),"Historical","Forward")</f>
        <v>Historical</v>
      </c>
      <c r="C33" s="175"/>
      <c r="D33" s="193" t="str">
        <f ca="1">INDEX(INDIRECT(E33),0,COLUMN(MO_Common_Column_A))</f>
        <v>Core Net Operating Earnings Per Share - WAD</v>
      </c>
      <c r="E33" s="188" t="s">
        <v>507</v>
      </c>
      <c r="F33" s="187" t="s">
        <v>516</v>
      </c>
      <c r="G33" s="187"/>
      <c r="H33" s="175"/>
      <c r="I33" s="189">
        <v>6.25</v>
      </c>
      <c r="J33" s="189">
        <v>6.75</v>
      </c>
      <c r="K33" s="189">
        <f>AVERAGE(I33,J33)</f>
        <v>6.50</v>
      </c>
      <c r="L33" s="175"/>
      <c r="M33" s="187" t="s">
        <v>427</v>
      </c>
      <c r="N33" s="429">
        <f ca="1">IFERROR(INDEX(INDIRECT(E33),0,MATCH(F33,MO_Common_ColumnHeader,0)),"N/A")</f>
        <v>11.600467289719626</v>
      </c>
      <c r="O33" s="175"/>
      <c r="P33" s="430">
        <f ca="1">IF(ISNUMBER(N33),N33-K33,"N/A")</f>
        <v>5.1004672897196262</v>
      </c>
      <c r="Q33" s="457">
        <f ca="1">IFERROR(IF(ISNUMBER(N33),(N33-K33)/ABS(K33),"N/A"),"N/A")</f>
        <v>0.78468727534148097</v>
      </c>
      <c r="R33" s="175"/>
      <c r="S33" s="190">
        <v>44230</v>
      </c>
      <c r="T33" s="194" t="s">
        <v>428</v>
      </c>
      <c r="U33" s="175"/>
    </row>
    <row r="34" spans="1:21" ht="15">
      <c r="A34" s="173">
        <v>24</v>
      </c>
      <c r="B34" s="175"/>
      <c r="C34" s="175"/>
      <c r="D34" s="176"/>
      <c r="E34" s="177"/>
      <c r="F34" s="175"/>
      <c r="G34" s="175"/>
      <c r="H34" s="175"/>
      <c r="I34" s="179"/>
      <c r="J34" s="179"/>
      <c r="K34" s="179"/>
      <c r="L34" s="175"/>
      <c r="M34" s="175"/>
      <c r="N34" s="179"/>
      <c r="O34" s="175"/>
      <c r="P34" s="180"/>
      <c r="Q34" s="85"/>
      <c r="R34" s="175"/>
      <c r="S34" s="181"/>
      <c r="T34" s="195"/>
      <c r="U34" s="175"/>
    </row>
    <row r="35" spans="1:21" ht="15">
      <c r="A35" s="173">
        <v>23</v>
      </c>
      <c r="B35" s="187" t="str">
        <f>IF(INDEX(MO_SNA_IsHistoricalPeriod,,MATCH(F35,MO_Common_ColumnHeader,0)),"Historical","Forward")</f>
        <v>Historical</v>
      </c>
      <c r="C35" s="175"/>
      <c r="D35" s="193" t="str">
        <f ca="1">INDEX(INDIRECT(E35),0,COLUMN(MO_Common_Column_A))</f>
        <v>Core Net Operating Earnings Per Share - WAD</v>
      </c>
      <c r="E35" s="188" t="s">
        <v>507</v>
      </c>
      <c r="F35" s="187" t="s">
        <v>486</v>
      </c>
      <c r="G35" s="187"/>
      <c r="H35" s="175"/>
      <c r="I35" s="189">
        <v>7</v>
      </c>
      <c r="J35" s="189">
        <v>7.50</v>
      </c>
      <c r="K35" s="189">
        <f>AVERAGE(I35,J35)</f>
        <v>7.25</v>
      </c>
      <c r="L35" s="175"/>
      <c r="M35" s="187" t="s">
        <v>427</v>
      </c>
      <c r="N35" s="429">
        <f ca="1">IFERROR(INDEX(INDIRECT(E35),0,MATCH(F35,MO_Common_ColumnHeader,0)),"N/A")</f>
        <v>5.3923766816143495</v>
      </c>
      <c r="O35" s="175"/>
      <c r="P35" s="430">
        <f ca="1">IF(ISNUMBER(N35),N35-K35,"N/A")</f>
        <v>-1.8576233183856505</v>
      </c>
      <c r="Q35" s="457">
        <f ca="1">IFERROR(IF(ISNUMBER(N35),(N35-K35)/ABS(K35),"N/A"),"N/A")</f>
        <v>-0.25622390598422767</v>
      </c>
      <c r="R35" s="175"/>
      <c r="S35" s="190">
        <v>44132</v>
      </c>
      <c r="T35" s="194" t="s">
        <v>428</v>
      </c>
      <c r="U35" s="175"/>
    </row>
    <row r="36" spans="1:21" ht="15">
      <c r="A36" s="173">
        <v>22</v>
      </c>
      <c r="B36" s="175"/>
      <c r="C36" s="175"/>
      <c r="D36" s="176"/>
      <c r="E36" s="177"/>
      <c r="F36" s="175"/>
      <c r="G36" s="175"/>
      <c r="H36" s="175"/>
      <c r="I36" s="179"/>
      <c r="J36" s="179"/>
      <c r="K36" s="179"/>
      <c r="L36" s="175"/>
      <c r="M36" s="175"/>
      <c r="N36" s="179"/>
      <c r="O36" s="175"/>
      <c r="P36" s="180"/>
      <c r="Q36" s="85"/>
      <c r="R36" s="175"/>
      <c r="S36" s="181"/>
      <c r="T36" s="195"/>
      <c r="U36" s="175"/>
    </row>
    <row r="37" spans="1:21" ht="15">
      <c r="A37" s="173">
        <v>21</v>
      </c>
      <c r="B37" s="187" t="str">
        <f>IF(INDEX(MO_SNA_IsHistoricalPeriod,,MATCH(F37,MO_Common_ColumnHeader,0)),"Historical","Forward")</f>
        <v>Historical</v>
      </c>
      <c r="C37" s="175"/>
      <c r="D37" s="193" t="str">
        <f ca="1">INDEX(INDIRECT(E37),0,COLUMN(MO_Common_Column_A))</f>
        <v>Core Net Operating Earnings Per Share - WAD</v>
      </c>
      <c r="E37" s="188" t="s">
        <v>507</v>
      </c>
      <c r="F37" s="187" t="s">
        <v>486</v>
      </c>
      <c r="G37" s="187"/>
      <c r="H37" s="175"/>
      <c r="I37" s="189">
        <v>6.60</v>
      </c>
      <c r="J37" s="189">
        <v>7.40</v>
      </c>
      <c r="K37" s="189">
        <f>AVERAGE(I37,J37)</f>
        <v>7</v>
      </c>
      <c r="L37" s="175"/>
      <c r="M37" s="187" t="s">
        <v>427</v>
      </c>
      <c r="N37" s="429">
        <f ca="1">IFERROR(INDEX(INDIRECT(E37),0,MATCH(F37,MO_Common_ColumnHeader,0)),"N/A")</f>
        <v>5.3923766816143495</v>
      </c>
      <c r="O37" s="175"/>
      <c r="P37" s="430">
        <f ca="1">IF(ISNUMBER(N37),N37-K37,"N/A")</f>
        <v>-1.6076233183856505</v>
      </c>
      <c r="Q37" s="457">
        <f ca="1">IFERROR(IF(ISNUMBER(N37),(N37-K37)/ABS(K37),"N/A"),"N/A")</f>
        <v>-0.22966047405509293</v>
      </c>
      <c r="R37" s="175"/>
      <c r="S37" s="190">
        <v>44056</v>
      </c>
      <c r="T37" s="194" t="s">
        <v>428</v>
      </c>
      <c r="U37" s="175"/>
    </row>
    <row r="38" spans="1:21" ht="15">
      <c r="A38" s="173">
        <v>20</v>
      </c>
      <c r="B38" s="175"/>
      <c r="C38" s="175"/>
      <c r="D38" s="176"/>
      <c r="E38" s="177"/>
      <c r="F38" s="175"/>
      <c r="G38" s="175"/>
      <c r="H38" s="175"/>
      <c r="I38" s="179"/>
      <c r="J38" s="179"/>
      <c r="K38" s="179"/>
      <c r="L38" s="175"/>
      <c r="M38" s="175"/>
      <c r="N38" s="179"/>
      <c r="O38" s="175"/>
      <c r="P38" s="180"/>
      <c r="Q38" s="85"/>
      <c r="R38" s="175"/>
      <c r="S38" s="181"/>
      <c r="T38" s="195"/>
      <c r="U38" s="175"/>
    </row>
    <row r="39" spans="1:21" ht="15">
      <c r="A39" s="173">
        <v>19</v>
      </c>
      <c r="B39" s="187" t="str">
        <f>IF(INDEX(MO_SNA_IsHistoricalPeriod,,MATCH(F39,MO_Common_ColumnHeader,0)),"Historical","Forward")</f>
        <v>Historical</v>
      </c>
      <c r="C39" s="175"/>
      <c r="D39" s="193" t="str">
        <f ca="1">INDEX(INDIRECT(E39),0,COLUMN(MO_Common_Column_A))</f>
        <v>Core Net Operating Earnings Per Share - WAD</v>
      </c>
      <c r="E39" s="188" t="s">
        <v>507</v>
      </c>
      <c r="F39" s="187" t="s">
        <v>486</v>
      </c>
      <c r="G39" s="187"/>
      <c r="H39" s="175"/>
      <c r="I39" s="189">
        <v>6.45</v>
      </c>
      <c r="J39" s="189">
        <v>7.25</v>
      </c>
      <c r="K39" s="189">
        <f>AVERAGE(I39,J39)</f>
        <v>6.85</v>
      </c>
      <c r="L39" s="175"/>
      <c r="M39" s="187" t="s">
        <v>427</v>
      </c>
      <c r="N39" s="429">
        <f ca="1">IFERROR(INDEX(INDIRECT(E39),0,MATCH(F39,MO_Common_ColumnHeader,0)),"N/A")</f>
        <v>5.3923766816143495</v>
      </c>
      <c r="O39" s="175"/>
      <c r="P39" s="430">
        <f ca="1">IF(ISNUMBER(N39),N39-K39,"N/A")</f>
        <v>-1.4576233183856502</v>
      </c>
      <c r="Q39" s="457">
        <f ca="1">IFERROR(IF(ISNUMBER(N39),(N39-K39)/ABS(K39),"N/A"),"N/A")</f>
        <v>-0.21279172531177376</v>
      </c>
      <c r="R39" s="175"/>
      <c r="S39" s="190">
        <v>43963</v>
      </c>
      <c r="T39" s="194" t="s">
        <v>428</v>
      </c>
      <c r="U39" s="175"/>
    </row>
    <row r="40" spans="1:21" ht="15">
      <c r="A40" s="173">
        <v>18</v>
      </c>
      <c r="B40" s="175"/>
      <c r="C40" s="175"/>
      <c r="D40" s="176"/>
      <c r="E40" s="177"/>
      <c r="F40" s="175"/>
      <c r="G40" s="175"/>
      <c r="H40" s="175"/>
      <c r="I40" s="179"/>
      <c r="J40" s="179"/>
      <c r="K40" s="179"/>
      <c r="L40" s="175"/>
      <c r="M40" s="175"/>
      <c r="N40" s="179"/>
      <c r="O40" s="175"/>
      <c r="P40" s="180"/>
      <c r="Q40" s="85"/>
      <c r="R40" s="175"/>
      <c r="S40" s="181"/>
      <c r="T40" s="195"/>
      <c r="U40" s="175"/>
    </row>
    <row r="41" spans="1:21" ht="15">
      <c r="A41" s="173">
        <v>17</v>
      </c>
      <c r="B41" s="187" t="str">
        <f>IF(INDEX(MO_SNA_IsHistoricalPeriod,,MATCH(F41,MO_Common_ColumnHeader,0)),"Historical","Forward")</f>
        <v>Historical</v>
      </c>
      <c r="C41" s="175"/>
      <c r="D41" s="193" t="str">
        <f ca="1">INDEX(INDIRECT(E41),0,COLUMN(MO_Common_Column_A))</f>
        <v>Core Net Operating Earnings Per Share - WAD</v>
      </c>
      <c r="E41" s="188" t="s">
        <v>507</v>
      </c>
      <c r="F41" s="187" t="s">
        <v>486</v>
      </c>
      <c r="G41" s="187"/>
      <c r="H41" s="175"/>
      <c r="I41" s="189">
        <v>8.75</v>
      </c>
      <c r="J41" s="189">
        <v>9.25</v>
      </c>
      <c r="K41" s="189">
        <f>AVERAGE(I41,J41)</f>
        <v>9</v>
      </c>
      <c r="L41" s="175"/>
      <c r="M41" s="187" t="s">
        <v>427</v>
      </c>
      <c r="N41" s="429">
        <f ca="1">IFERROR(INDEX(INDIRECT(E41),0,MATCH(F41,MO_Common_ColumnHeader,0)),"N/A")</f>
        <v>5.3923766816143495</v>
      </c>
      <c r="O41" s="175"/>
      <c r="P41" s="430">
        <f ca="1">IF(ISNUMBER(N41),N41-K41,"N/A")</f>
        <v>-3.6076233183856505</v>
      </c>
      <c r="Q41" s="457">
        <f ca="1">IFERROR(IF(ISNUMBER(N41),(N41-K41)/ABS(K41),"N/A"),"N/A")</f>
        <v>-0.40084703537618338</v>
      </c>
      <c r="R41" s="175"/>
      <c r="S41" s="190">
        <v>43887</v>
      </c>
      <c r="T41" s="194" t="s">
        <v>428</v>
      </c>
      <c r="U41" s="175"/>
    </row>
    <row r="42" spans="1:21" ht="15">
      <c r="A42" s="173">
        <v>16</v>
      </c>
      <c r="B42" s="175"/>
      <c r="C42" s="175"/>
      <c r="D42" s="176"/>
      <c r="E42" s="177"/>
      <c r="F42" s="175"/>
      <c r="G42" s="175"/>
      <c r="H42" s="175"/>
      <c r="I42" s="179"/>
      <c r="J42" s="179"/>
      <c r="K42" s="179"/>
      <c r="L42" s="175"/>
      <c r="M42" s="175"/>
      <c r="N42" s="179"/>
      <c r="O42" s="175"/>
      <c r="P42" s="180"/>
      <c r="Q42" s="85"/>
      <c r="R42" s="175"/>
      <c r="S42" s="181"/>
      <c r="T42" s="195"/>
      <c r="U42" s="175"/>
    </row>
    <row r="43" spans="1:21" ht="15">
      <c r="A43" s="173">
        <v>15</v>
      </c>
      <c r="B43" s="187" t="str">
        <f>IF(INDEX(MO_SNA_IsHistoricalPeriod,,MATCH(F43,MO_Common_ColumnHeader,0)),"Historical","Forward")</f>
        <v>Historical</v>
      </c>
      <c r="C43" s="175"/>
      <c r="D43" s="193" t="str">
        <f ca="1">INDEX(INDIRECT(E43),0,COLUMN(MO_Common_Column_A))</f>
        <v>Core Net Operating Earnings Per Share - WAD</v>
      </c>
      <c r="E43" s="188" t="s">
        <v>507</v>
      </c>
      <c r="F43" s="187" t="s">
        <v>463</v>
      </c>
      <c r="G43" s="187"/>
      <c r="H43" s="175"/>
      <c r="I43" s="189">
        <v>8.50</v>
      </c>
      <c r="J43" s="189">
        <v>8.6999999999999993</v>
      </c>
      <c r="K43" s="189">
        <f>AVERAGE(I43,J43)</f>
        <v>8.60</v>
      </c>
      <c r="L43" s="175"/>
      <c r="M43" s="187" t="s">
        <v>427</v>
      </c>
      <c r="N43" s="429">
        <f ca="1">IFERROR(INDEX(INDIRECT(E43),0,MATCH(F43,MO_Common_ColumnHeader,0)),"N/A")</f>
        <v>8.615384615384615</v>
      </c>
      <c r="O43" s="175"/>
      <c r="P43" s="430">
        <f ca="1">IF(ISNUMBER(N43),N43-K43,"N/A")</f>
        <v>0.01538461538461533</v>
      </c>
      <c r="Q43" s="457">
        <f ca="1">IFERROR(IF(ISNUMBER(N43),(N43-K43)/ABS(K43),"N/A"),"N/A")</f>
        <v>0.0017889087656529454</v>
      </c>
      <c r="R43" s="175"/>
      <c r="S43" s="190">
        <v>43767</v>
      </c>
      <c r="T43" s="194" t="s">
        <v>428</v>
      </c>
      <c r="U43" s="175"/>
    </row>
    <row r="44" spans="1:21" ht="15">
      <c r="A44" s="173">
        <v>14</v>
      </c>
      <c r="B44" s="175"/>
      <c r="C44" s="175"/>
      <c r="D44" s="176"/>
      <c r="E44" s="177"/>
      <c r="F44" s="175"/>
      <c r="G44" s="175"/>
      <c r="H44" s="175"/>
      <c r="I44" s="179"/>
      <c r="J44" s="179"/>
      <c r="K44" s="179"/>
      <c r="L44" s="175"/>
      <c r="M44" s="175"/>
      <c r="N44" s="179"/>
      <c r="O44" s="175"/>
      <c r="P44" s="180"/>
      <c r="Q44" s="85"/>
      <c r="R44" s="175"/>
      <c r="S44" s="181"/>
      <c r="T44" s="195"/>
      <c r="U44" s="175"/>
    </row>
    <row r="45" spans="1:21" ht="15">
      <c r="A45" s="173">
        <v>13</v>
      </c>
      <c r="B45" s="187" t="str">
        <f>IF(INDEX(MO_SNA_IsHistoricalPeriod,,MATCH(F45,MO_Common_ColumnHeader,0)),"Historical","Forward")</f>
        <v>Historical</v>
      </c>
      <c r="C45" s="175"/>
      <c r="D45" s="193" t="str">
        <f ca="1">INDEX(INDIRECT(E45),0,COLUMN(MO_Common_Column_A))</f>
        <v>Core Net Operating Earnings Per Share - WAD</v>
      </c>
      <c r="E45" s="188" t="s">
        <v>507</v>
      </c>
      <c r="F45" s="187" t="s">
        <v>463</v>
      </c>
      <c r="G45" s="187"/>
      <c r="H45" s="175"/>
      <c r="I45" s="189">
        <v>8.40</v>
      </c>
      <c r="J45" s="189">
        <v>8.8000000000000007</v>
      </c>
      <c r="K45" s="189">
        <f>AVERAGE(I45,J45)</f>
        <v>8.6000000000000014</v>
      </c>
      <c r="L45" s="175"/>
      <c r="M45" s="187" t="s">
        <v>427</v>
      </c>
      <c r="N45" s="429">
        <f ca="1">IFERROR(INDEX(INDIRECT(E45),0,MATCH(F45,MO_Common_ColumnHeader,0)),"N/A")</f>
        <v>8.615384615384615</v>
      </c>
      <c r="O45" s="175"/>
      <c r="P45" s="430">
        <f ca="1">IF(ISNUMBER(N45),N45-K45,"N/A")</f>
        <v>0.015384615384613554</v>
      </c>
      <c r="Q45" s="457">
        <f ca="1">IFERROR(IF(ISNUMBER(N45),(N45-K45)/ABS(K45),"N/A"),"N/A")</f>
        <v>0.0017889087656527386</v>
      </c>
      <c r="R45" s="175"/>
      <c r="S45" s="190">
        <v>43683</v>
      </c>
      <c r="T45" s="194" t="s">
        <v>428</v>
      </c>
      <c r="U45" s="175"/>
    </row>
    <row r="46" spans="1:21" ht="15">
      <c r="A46" s="173">
        <v>12</v>
      </c>
      <c r="B46" s="175"/>
      <c r="C46" s="175"/>
      <c r="D46" s="176"/>
      <c r="E46" s="177"/>
      <c r="F46" s="175"/>
      <c r="G46" s="175"/>
      <c r="H46" s="175"/>
      <c r="I46" s="179"/>
      <c r="J46" s="179"/>
      <c r="K46" s="179"/>
      <c r="L46" s="175"/>
      <c r="M46" s="175"/>
      <c r="N46" s="179"/>
      <c r="O46" s="175"/>
      <c r="P46" s="180"/>
      <c r="Q46" s="85"/>
      <c r="R46" s="175"/>
      <c r="S46" s="181"/>
      <c r="T46" s="195"/>
      <c r="U46" s="175"/>
    </row>
    <row r="47" spans="1:21" ht="15">
      <c r="A47" s="173">
        <v>11</v>
      </c>
      <c r="B47" s="187" t="str">
        <f>IF(INDEX(MO_SNA_IsHistoricalPeriod,,MATCH(F47,MO_Common_ColumnHeader,0)),"Historical","Forward")</f>
        <v>Historical</v>
      </c>
      <c r="C47" s="175"/>
      <c r="D47" s="193" t="str">
        <f ca="1">INDEX(INDIRECT(E47),0,COLUMN(MO_Common_Column_A))</f>
        <v>Core Net Operating Earnings Per Share - WAD</v>
      </c>
      <c r="E47" s="188" t="s">
        <v>507</v>
      </c>
      <c r="F47" s="187" t="s">
        <v>463</v>
      </c>
      <c r="G47" s="187"/>
      <c r="H47" s="175"/>
      <c r="I47" s="189">
        <v>8.35</v>
      </c>
      <c r="J47" s="189">
        <v>8.85</v>
      </c>
      <c r="K47" s="189">
        <f>AVERAGE(I47,J47)</f>
        <v>8.60</v>
      </c>
      <c r="L47" s="175"/>
      <c r="M47" s="187" t="s">
        <v>427</v>
      </c>
      <c r="N47" s="429">
        <f ca="1">IFERROR(INDEX(INDIRECT(E47),0,MATCH(F47,MO_Common_ColumnHeader,0)),"N/A")</f>
        <v>8.615384615384615</v>
      </c>
      <c r="O47" s="175"/>
      <c r="P47" s="430">
        <f ca="1">IF(ISNUMBER(N47),N47-K47,"N/A")</f>
        <v>0.01538461538461533</v>
      </c>
      <c r="Q47" s="457">
        <f ca="1">IFERROR(IF(ISNUMBER(N47),(N47-K47)/ABS(K47),"N/A"),"N/A")</f>
        <v>0.0017889087656529454</v>
      </c>
      <c r="R47" s="175"/>
      <c r="S47" s="190">
        <v>43586</v>
      </c>
      <c r="T47" s="194" t="s">
        <v>428</v>
      </c>
      <c r="U47" s="175"/>
    </row>
    <row r="48" spans="1:21" ht="15">
      <c r="A48" s="173">
        <v>10</v>
      </c>
      <c r="B48" s="175"/>
      <c r="C48" s="175"/>
      <c r="D48" s="176"/>
      <c r="E48" s="177"/>
      <c r="F48" s="175"/>
      <c r="G48" s="175"/>
      <c r="H48" s="175"/>
      <c r="I48" s="179"/>
      <c r="J48" s="179"/>
      <c r="K48" s="179"/>
      <c r="L48" s="175"/>
      <c r="M48" s="175"/>
      <c r="N48" s="179"/>
      <c r="O48" s="175"/>
      <c r="P48" s="180"/>
      <c r="Q48" s="85"/>
      <c r="R48" s="175"/>
      <c r="S48" s="181"/>
      <c r="T48" s="195"/>
      <c r="U48" s="175"/>
    </row>
    <row r="49" spans="1:21" ht="15">
      <c r="A49" s="173">
        <v>9</v>
      </c>
      <c r="B49" s="187" t="str">
        <f>IF(INDEX(MO_SNA_IsHistoricalPeriod,,MATCH(F49,MO_Common_ColumnHeader,0)),"Historical","Forward")</f>
        <v>Historical</v>
      </c>
      <c r="C49" s="175"/>
      <c r="D49" s="193" t="str">
        <f ca="1">INDEX(INDIRECT(E49),0,COLUMN(MO_Common_Column_A))</f>
        <v>Core Net Operating Earnings Per Share - WAD</v>
      </c>
      <c r="E49" s="188" t="s">
        <v>507</v>
      </c>
      <c r="F49" s="187" t="s">
        <v>426</v>
      </c>
      <c r="G49" s="187"/>
      <c r="H49" s="175"/>
      <c r="I49" s="189">
        <v>8.35</v>
      </c>
      <c r="J49" s="189">
        <v>8.65</v>
      </c>
      <c r="K49" s="189">
        <f>AVERAGE(I49,J49)</f>
        <v>8.50</v>
      </c>
      <c r="L49" s="175"/>
      <c r="M49" s="187" t="s">
        <v>427</v>
      </c>
      <c r="N49" s="429">
        <f ca="1">IFERROR(INDEX(INDIRECT(E49),0,MATCH(F49,MO_Common_ColumnHeader,0)),"N/A")</f>
        <v>8.3995584988962477</v>
      </c>
      <c r="O49" s="175"/>
      <c r="P49" s="430">
        <f ca="1">IF(ISNUMBER(N49),N49-K49,"N/A")</f>
        <v>-0.10044150110375227</v>
      </c>
      <c r="Q49" s="457">
        <f ca="1">IFERROR(IF(ISNUMBER(N49),(N49-K49)/ABS(K49),"N/A"),"N/A")</f>
        <v>-0.011816647188676739</v>
      </c>
      <c r="R49" s="175"/>
      <c r="S49" s="190">
        <v>43412</v>
      </c>
      <c r="T49" s="194" t="s">
        <v>428</v>
      </c>
      <c r="U49" s="175"/>
    </row>
    <row r="50" spans="1:21" ht="15">
      <c r="A50" s="173">
        <v>8</v>
      </c>
      <c r="B50" s="175"/>
      <c r="C50" s="175"/>
      <c r="D50" s="176"/>
      <c r="E50" s="177"/>
      <c r="F50" s="175"/>
      <c r="G50" s="175"/>
      <c r="H50" s="175"/>
      <c r="I50" s="179"/>
      <c r="J50" s="179"/>
      <c r="K50" s="179"/>
      <c r="L50" s="175"/>
      <c r="M50" s="175"/>
      <c r="N50" s="179"/>
      <c r="O50" s="175"/>
      <c r="P50" s="180"/>
      <c r="Q50" s="85"/>
      <c r="R50" s="175"/>
      <c r="S50" s="181"/>
      <c r="T50" s="195"/>
      <c r="U50" s="175"/>
    </row>
    <row r="51" spans="1:21" ht="15">
      <c r="A51" s="173">
        <v>7</v>
      </c>
      <c r="B51" s="187" t="str">
        <f>IF(INDEX(MO_SNA_IsHistoricalPeriod,,MATCH(F51,MO_Common_ColumnHeader,0)),"Historical","Forward")</f>
        <v>Historical</v>
      </c>
      <c r="C51" s="175"/>
      <c r="D51" s="193" t="str">
        <f ca="1">INDEX(INDIRECT(E51),0,COLUMN(MO_Common_Column_A))</f>
        <v>Core Net Operating Earnings Per Share - WAD</v>
      </c>
      <c r="E51" s="188" t="s">
        <v>507</v>
      </c>
      <c r="F51" s="187" t="s">
        <v>426</v>
      </c>
      <c r="G51" s="187"/>
      <c r="H51" s="175"/>
      <c r="I51" s="189">
        <v>8.10</v>
      </c>
      <c r="J51" s="189">
        <v>8.60</v>
      </c>
      <c r="K51" s="189">
        <f>AVERAGE(I51,J51)</f>
        <v>8.35</v>
      </c>
      <c r="L51" s="175"/>
      <c r="M51" s="187" t="s">
        <v>427</v>
      </c>
      <c r="N51" s="429">
        <f ca="1">IFERROR(INDEX(INDIRECT(E51),0,MATCH(F51,MO_Common_ColumnHeader,0)),"N/A")</f>
        <v>8.3995584988962477</v>
      </c>
      <c r="O51" s="175"/>
      <c r="P51" s="430">
        <f ca="1">IF(ISNUMBER(N51),N51-K51,"N/A")</f>
        <v>0.049558498896248082</v>
      </c>
      <c r="Q51" s="457">
        <f ca="1">IFERROR(IF(ISNUMBER(N51),(N51-K51)/ABS(K51),"N/A"),"N/A")</f>
        <v>0.0059351495684129441</v>
      </c>
      <c r="R51" s="175"/>
      <c r="S51" s="190">
        <v>43318</v>
      </c>
      <c r="T51" s="194" t="s">
        <v>428</v>
      </c>
      <c r="U51" s="175"/>
    </row>
    <row r="52" spans="1:21" ht="15">
      <c r="A52" s="173">
        <v>6</v>
      </c>
      <c r="B52" s="175"/>
      <c r="C52" s="175"/>
      <c r="D52" s="176"/>
      <c r="E52" s="177"/>
      <c r="F52" s="175"/>
      <c r="G52" s="175"/>
      <c r="H52" s="175"/>
      <c r="I52" s="179"/>
      <c r="J52" s="179"/>
      <c r="K52" s="179"/>
      <c r="L52" s="175"/>
      <c r="M52" s="175"/>
      <c r="N52" s="179"/>
      <c r="O52" s="175"/>
      <c r="P52" s="180"/>
      <c r="Q52" s="85"/>
      <c r="R52" s="175"/>
      <c r="S52" s="181"/>
      <c r="T52" s="195"/>
      <c r="U52" s="175"/>
    </row>
    <row r="53" spans="1:21" ht="15">
      <c r="A53" s="173">
        <v>5</v>
      </c>
      <c r="B53" s="187" t="str">
        <f>IF(INDEX(MO_SNA_IsHistoricalPeriod,,MATCH(F53,MO_Common_ColumnHeader,0)),"Historical","Forward")</f>
        <v>Historical</v>
      </c>
      <c r="C53" s="175"/>
      <c r="D53" s="193" t="str">
        <f ca="1">INDEX(INDIRECT(E53),0,COLUMN(MO_Common_Column_A))</f>
        <v>Core Net Operating Earnings Per Share - WAD</v>
      </c>
      <c r="E53" s="188" t="s">
        <v>507</v>
      </c>
      <c r="F53" s="187" t="s">
        <v>426</v>
      </c>
      <c r="G53" s="187"/>
      <c r="H53" s="175"/>
      <c r="I53" s="189">
        <v>7.90</v>
      </c>
      <c r="J53" s="189">
        <v>8.40</v>
      </c>
      <c r="K53" s="189">
        <f>AVERAGE(I53,J53)</f>
        <v>8.15</v>
      </c>
      <c r="L53" s="175"/>
      <c r="M53" s="187" t="s">
        <v>427</v>
      </c>
      <c r="N53" s="429">
        <f ca="1">IFERROR(INDEX(INDIRECT(E53),0,MATCH(F53,MO_Common_ColumnHeader,0)),"N/A")</f>
        <v>8.3995584988962477</v>
      </c>
      <c r="O53" s="175"/>
      <c r="P53" s="430">
        <f ca="1">IF(ISNUMBER(N53),N53-K53,"N/A")</f>
        <v>0.24955849889624737</v>
      </c>
      <c r="Q53" s="457">
        <f ca="1">IFERROR(IF(ISNUMBER(N53),(N53-K53)/ABS(K53),"N/A"),"N/A")</f>
        <v>0.030620674711195995</v>
      </c>
      <c r="R53" s="175"/>
      <c r="S53" s="190">
        <v>43223</v>
      </c>
      <c r="T53" s="194" t="s">
        <v>428</v>
      </c>
      <c r="U53" s="175"/>
    </row>
    <row r="54" spans="1:21" ht="15">
      <c r="A54" s="173">
        <v>4</v>
      </c>
      <c r="B54" s="175"/>
      <c r="C54" s="175"/>
      <c r="D54" s="176"/>
      <c r="E54" s="177"/>
      <c r="F54" s="175"/>
      <c r="G54" s="175"/>
      <c r="H54" s="175"/>
      <c r="I54" s="175"/>
      <c r="J54" s="175"/>
      <c r="K54" s="175"/>
      <c r="L54" s="175"/>
      <c r="M54" s="175"/>
      <c r="N54" s="175"/>
      <c r="O54" s="175"/>
      <c r="P54" s="176"/>
      <c r="Q54" s="83"/>
      <c r="R54" s="175"/>
      <c r="S54" s="178"/>
      <c r="T54" s="196"/>
      <c r="U54" s="175"/>
    </row>
    <row r="55" spans="1:21" ht="15">
      <c r="A55" s="173">
        <v>3</v>
      </c>
      <c r="B55" s="187" t="str">
        <f>IF(INDEX(MO_SNA_IsHistoricalPeriod,,MATCH(F55,MO_Common_ColumnHeader,0)),"Historical","Forward")</f>
        <v>Historical</v>
      </c>
      <c r="C55" s="175"/>
      <c r="D55" s="193" t="str">
        <f ca="1">INDEX(INDIRECT(E55),0,COLUMN(MO_Common_Column_A))</f>
        <v>Core Net Operating Earnings Per Share - WAD</v>
      </c>
      <c r="E55" s="188" t="s">
        <v>507</v>
      </c>
      <c r="F55" s="187" t="s">
        <v>426</v>
      </c>
      <c r="G55" s="187"/>
      <c r="H55" s="175"/>
      <c r="I55" s="189">
        <v>7.90</v>
      </c>
      <c r="J55" s="189">
        <v>8.40</v>
      </c>
      <c r="K55" s="189">
        <f>AVERAGE(I55,J55)</f>
        <v>8.15</v>
      </c>
      <c r="L55" s="175"/>
      <c r="M55" s="187" t="s">
        <v>427</v>
      </c>
      <c r="N55" s="429">
        <f ca="1">IFERROR(INDEX(INDIRECT(E55),0,MATCH(F55,MO_Common_ColumnHeader,0)),"N/A")</f>
        <v>8.3995584988962477</v>
      </c>
      <c r="O55" s="175"/>
      <c r="P55" s="430">
        <f ca="1">IF(ISNUMBER(N55),N55-K55,"N/A")</f>
        <v>0.24955849889624737</v>
      </c>
      <c r="Q55" s="457">
        <f ca="1">IFERROR(IF(ISNUMBER(N55),(N55-K55)/ABS(K55),"N/A"),"N/A")</f>
        <v>0.030620674711195995</v>
      </c>
      <c r="R55" s="175"/>
      <c r="S55" s="190">
        <v>43132</v>
      </c>
      <c r="T55" s="194" t="s">
        <v>428</v>
      </c>
      <c r="U55" s="175"/>
    </row>
    <row r="56" spans="1:21" ht="15">
      <c r="A56" s="173">
        <v>2</v>
      </c>
      <c r="B56" s="175"/>
      <c r="C56" s="175"/>
      <c r="D56" s="176"/>
      <c r="E56" s="177"/>
      <c r="F56" s="175"/>
      <c r="G56" s="175"/>
      <c r="H56" s="175"/>
      <c r="I56" s="175"/>
      <c r="J56" s="175"/>
      <c r="K56" s="175"/>
      <c r="L56" s="175"/>
      <c r="M56" s="175"/>
      <c r="N56" s="175"/>
      <c r="O56" s="175"/>
      <c r="P56" s="176"/>
      <c r="Q56" s="83"/>
      <c r="R56" s="175"/>
      <c r="S56" s="178"/>
      <c r="T56" s="196"/>
      <c r="U56" s="175"/>
    </row>
    <row r="57" spans="1:21" ht="15">
      <c r="A57" s="173">
        <v>1</v>
      </c>
      <c r="B57" s="187" t="str">
        <f>IF(INDEX(MO_SNA_IsHistoricalPeriod,,MATCH(F57,MO_Common_ColumnHeader,0)),"Historical","Forward")</f>
        <v>Historical</v>
      </c>
      <c r="C57" s="175"/>
      <c r="D57" s="193" t="str">
        <f ca="1">INDEX(INDIRECT(E57),0,COLUMN(MO_Common_Column_A))</f>
        <v>Core Net Operating Earnings Per Share - WAD</v>
      </c>
      <c r="E57" s="188" t="s">
        <v>507</v>
      </c>
      <c r="F57" s="187" t="s">
        <v>429</v>
      </c>
      <c r="G57" s="187"/>
      <c r="H57" s="175"/>
      <c r="I57" s="189">
        <v>5.90</v>
      </c>
      <c r="J57" s="189">
        <v>6.20</v>
      </c>
      <c r="K57" s="189">
        <f>AVERAGE(I57,J57)</f>
        <v>6.0500000000000007</v>
      </c>
      <c r="L57" s="175"/>
      <c r="M57" s="187" t="s">
        <v>427</v>
      </c>
      <c r="N57" s="429">
        <f ca="1">IFERROR(INDEX(INDIRECT(E57),0,MATCH(F57,MO_Common_ColumnHeader,0)),"N/A")</f>
        <v>6.5478841870824054</v>
      </c>
      <c r="O57" s="175"/>
      <c r="P57" s="430">
        <f ca="1">IF(ISNUMBER(N57),N57-K57,"N/A")</f>
        <v>0.49788418708240467</v>
      </c>
      <c r="Q57" s="457">
        <f ca="1">IFERROR(IF(ISNUMBER(N57),(N57-K57)/ABS(K57),"N/A"),"N/A")</f>
        <v>0.082294906955769354</v>
      </c>
      <c r="R57" s="175"/>
      <c r="S57" s="190">
        <v>43122</v>
      </c>
      <c r="T57" s="194" t="s">
        <v>428</v>
      </c>
      <c r="U57" s="175"/>
    </row>
    <row r="58" spans="1:21" ht="15">
      <c r="A58" s="173">
        <v>0</v>
      </c>
      <c r="B58" s="175"/>
      <c r="C58" s="175"/>
      <c r="D58" s="175"/>
      <c r="E58" s="177"/>
      <c r="F58" s="175"/>
      <c r="G58" s="175"/>
      <c r="H58" s="175"/>
      <c r="I58" s="175"/>
      <c r="J58" s="175"/>
      <c r="K58" s="175"/>
      <c r="L58" s="175"/>
      <c r="M58" s="175"/>
      <c r="N58" s="175"/>
      <c r="O58" s="175"/>
      <c r="P58" s="175"/>
      <c r="Q58" s="79"/>
      <c r="R58" s="175"/>
      <c r="S58" s="178"/>
      <c r="T58" s="175"/>
      <c r="U58" s="175"/>
    </row>
  </sheetData>
  <autoFilter ref="A5:U5"/>
  <conditionalFormatting sqref="Q1:Q3 Q5 Q58">
    <cfRule type="colorScale" priority="112">
      <colorScale>
        <cfvo type="num" val="-0.1"/>
        <cfvo type="num" val="0"/>
        <cfvo type="num" val="0.1"/>
        <color rgb="FFF8696B"/>
        <color rgb="FFFFEB84"/>
        <color rgb="FF63BE7B"/>
      </colorScale>
    </cfRule>
  </conditionalFormatting>
  <conditionalFormatting sqref="Q56">
    <cfRule type="colorScale" priority="110">
      <colorScale>
        <cfvo type="num" val="-0.1"/>
        <cfvo type="num" val="0"/>
        <cfvo type="num" val="0.1"/>
        <color rgb="FFF8696B"/>
        <color rgb="FFFFEB84"/>
        <color rgb="FF63BE7B"/>
      </colorScale>
    </cfRule>
  </conditionalFormatting>
  <conditionalFormatting sqref="Q54">
    <cfRule type="colorScale" priority="109">
      <colorScale>
        <cfvo type="num" val="-0.1"/>
        <cfvo type="num" val="0"/>
        <cfvo type="num" val="0.1"/>
        <color rgb="FFF8696B"/>
        <color rgb="FFFFEB84"/>
        <color rgb="FF63BE7B"/>
      </colorScale>
    </cfRule>
  </conditionalFormatting>
  <conditionalFormatting sqref="Q52">
    <cfRule type="colorScale" priority="107">
      <colorScale>
        <cfvo type="num" val="-0.1"/>
        <cfvo type="num" val="0"/>
        <cfvo type="num" val="0.1"/>
        <color rgb="FFF8696B"/>
        <color rgb="FFFFEB84"/>
        <color rgb="FF63BE7B"/>
      </colorScale>
    </cfRule>
  </conditionalFormatting>
  <conditionalFormatting sqref="Q50">
    <cfRule type="colorScale" priority="105">
      <colorScale>
        <cfvo type="num" val="-0.1"/>
        <cfvo type="num" val="0"/>
        <cfvo type="num" val="0.1"/>
        <color rgb="FFF8696B"/>
        <color rgb="FFFFEB84"/>
        <color rgb="FF63BE7B"/>
      </colorScale>
    </cfRule>
  </conditionalFormatting>
  <conditionalFormatting sqref="Q48">
    <cfRule type="colorScale" priority="103">
      <colorScale>
        <cfvo type="num" val="-0.1"/>
        <cfvo type="num" val="0"/>
        <cfvo type="num" val="0.1"/>
        <color rgb="FFF8696B"/>
        <color rgb="FFFFEB84"/>
        <color rgb="FF63BE7B"/>
      </colorScale>
    </cfRule>
  </conditionalFormatting>
  <conditionalFormatting sqref="Q39">
    <cfRule type="colorScale" priority="90">
      <colorScale>
        <cfvo type="num" val="-0.1"/>
        <cfvo type="num" val="0"/>
        <cfvo type="num" val="0.1"/>
        <color rgb="FFF8696B"/>
        <color rgb="FFFFEB84"/>
        <color rgb="FF63BE7B"/>
      </colorScale>
    </cfRule>
  </conditionalFormatting>
  <conditionalFormatting sqref="Q46">
    <cfRule type="colorScale" priority="101">
      <colorScale>
        <cfvo type="num" val="-0.1"/>
        <cfvo type="num" val="0"/>
        <cfvo type="num" val="0.1"/>
        <color rgb="FFF8696B"/>
        <color rgb="FFFFEB84"/>
        <color rgb="FF63BE7B"/>
      </colorScale>
    </cfRule>
  </conditionalFormatting>
  <conditionalFormatting sqref="Q41">
    <cfRule type="colorScale" priority="85">
      <colorScale>
        <cfvo type="num" val="-0.1"/>
        <cfvo type="num" val="0"/>
        <cfvo type="num" val="0.1"/>
        <color rgb="FFF8696B"/>
        <color rgb="FFFFEB84"/>
        <color rgb="FF63BE7B"/>
      </colorScale>
    </cfRule>
  </conditionalFormatting>
  <conditionalFormatting sqref="Q44">
    <cfRule type="colorScale" priority="98">
      <colorScale>
        <cfvo type="num" val="-0.1"/>
        <cfvo type="num" val="0"/>
        <cfvo type="num" val="0.1"/>
        <color rgb="FFF8696B"/>
        <color rgb="FFFFEB84"/>
        <color rgb="FF63BE7B"/>
      </colorScale>
    </cfRule>
  </conditionalFormatting>
  <conditionalFormatting sqref="Q49">
    <cfRule type="colorScale" priority="76">
      <colorScale>
        <cfvo type="num" val="-0.1"/>
        <cfvo type="num" val="0"/>
        <cfvo type="num" val="0.1"/>
        <color rgb="FFF8696B"/>
        <color rgb="FFFFEB84"/>
        <color rgb="FF63BE7B"/>
      </colorScale>
    </cfRule>
  </conditionalFormatting>
  <conditionalFormatting sqref="Q42">
    <cfRule type="colorScale" priority="95">
      <colorScale>
        <cfvo type="num" val="-0.1"/>
        <cfvo type="num" val="0"/>
        <cfvo type="num" val="0.1"/>
        <color rgb="FFF8696B"/>
        <color rgb="FFFFEB84"/>
        <color rgb="FF63BE7B"/>
      </colorScale>
    </cfRule>
  </conditionalFormatting>
  <conditionalFormatting sqref="Q53">
    <cfRule type="colorScale" priority="72">
      <colorScale>
        <cfvo type="num" val="-0.1"/>
        <cfvo type="num" val="0"/>
        <cfvo type="num" val="0.1"/>
        <color rgb="FFF8696B"/>
        <color rgb="FFFFEB84"/>
        <color rgb="FF63BE7B"/>
      </colorScale>
    </cfRule>
  </conditionalFormatting>
  <conditionalFormatting sqref="Q57">
    <cfRule type="colorScale" priority="69">
      <colorScale>
        <cfvo type="num" val="-0.1"/>
        <cfvo type="num" val="0"/>
        <cfvo type="num" val="0.1"/>
        <color rgb="FFF8696B"/>
        <color rgb="FFFFEB84"/>
        <color rgb="FF63BE7B"/>
      </colorScale>
    </cfRule>
  </conditionalFormatting>
  <conditionalFormatting sqref="Q40">
    <cfRule type="colorScale" priority="92">
      <colorScale>
        <cfvo type="num" val="-0.1"/>
        <cfvo type="num" val="0"/>
        <cfvo type="num" val="0.1"/>
        <color rgb="FFF8696B"/>
        <color rgb="FFFFEB84"/>
        <color rgb="FF63BE7B"/>
      </colorScale>
    </cfRule>
  </conditionalFormatting>
  <conditionalFormatting sqref="Q39">
    <cfRule type="colorScale" priority="91">
      <colorScale>
        <cfvo type="num" val="-0.1"/>
        <cfvo type="num" val="0"/>
        <cfvo type="num" val="0.1"/>
        <color rgb="FFF8696B"/>
        <color rgb="FFFFEB84"/>
        <color rgb="FF63BE7B"/>
      </colorScale>
    </cfRule>
  </conditionalFormatting>
  <conditionalFormatting sqref="Q55">
    <cfRule type="colorScale" priority="71">
      <colorScale>
        <cfvo type="num" val="-0.1"/>
        <cfvo type="num" val="0"/>
        <cfvo type="num" val="0.1"/>
        <color rgb="FFF8696B"/>
        <color rgb="FFFFEB84"/>
        <color rgb="FF63BE7B"/>
      </colorScale>
    </cfRule>
  </conditionalFormatting>
  <conditionalFormatting sqref="Q55">
    <cfRule type="colorScale" priority="70">
      <colorScale>
        <cfvo type="num" val="-0.1"/>
        <cfvo type="num" val="0"/>
        <cfvo type="num" val="0.1"/>
        <color rgb="FFF8696B"/>
        <color rgb="FFFFEB84"/>
        <color rgb="FF63BE7B"/>
      </colorScale>
    </cfRule>
  </conditionalFormatting>
  <conditionalFormatting sqref="Q41">
    <cfRule type="colorScale" priority="84">
      <colorScale>
        <cfvo type="num" val="-0.1"/>
        <cfvo type="num" val="0"/>
        <cfvo type="num" val="0.1"/>
        <color rgb="FFF8696B"/>
        <color rgb="FFFFEB84"/>
        <color rgb="FF63BE7B"/>
      </colorScale>
    </cfRule>
  </conditionalFormatting>
  <conditionalFormatting sqref="Q43">
    <cfRule type="colorScale" priority="83">
      <colorScale>
        <cfvo type="num" val="-0.1"/>
        <cfvo type="num" val="0"/>
        <cfvo type="num" val="0.1"/>
        <color rgb="FFF8696B"/>
        <color rgb="FFFFEB84"/>
        <color rgb="FF63BE7B"/>
      </colorScale>
    </cfRule>
  </conditionalFormatting>
  <conditionalFormatting sqref="Q43">
    <cfRule type="colorScale" priority="82">
      <colorScale>
        <cfvo type="num" val="-0.1"/>
        <cfvo type="num" val="0"/>
        <cfvo type="num" val="0.1"/>
        <color rgb="FFF8696B"/>
        <color rgb="FFFFEB84"/>
        <color rgb="FF63BE7B"/>
      </colorScale>
    </cfRule>
  </conditionalFormatting>
  <conditionalFormatting sqref="Q45">
    <cfRule type="colorScale" priority="81">
      <colorScale>
        <cfvo type="num" val="-0.1"/>
        <cfvo type="num" val="0"/>
        <cfvo type="num" val="0.1"/>
        <color rgb="FFF8696B"/>
        <color rgb="FFFFEB84"/>
        <color rgb="FF63BE7B"/>
      </colorScale>
    </cfRule>
  </conditionalFormatting>
  <conditionalFormatting sqref="Q45">
    <cfRule type="colorScale" priority="80">
      <colorScale>
        <cfvo type="num" val="-0.1"/>
        <cfvo type="num" val="0"/>
        <cfvo type="num" val="0.1"/>
        <color rgb="FFF8696B"/>
        <color rgb="FFFFEB84"/>
        <color rgb="FF63BE7B"/>
      </colorScale>
    </cfRule>
  </conditionalFormatting>
  <conditionalFormatting sqref="Q47">
    <cfRule type="colorScale" priority="79">
      <colorScale>
        <cfvo type="num" val="-0.1"/>
        <cfvo type="num" val="0"/>
        <cfvo type="num" val="0.1"/>
        <color rgb="FFF8696B"/>
        <color rgb="FFFFEB84"/>
        <color rgb="FF63BE7B"/>
      </colorScale>
    </cfRule>
  </conditionalFormatting>
  <conditionalFormatting sqref="Q47">
    <cfRule type="colorScale" priority="78">
      <colorScale>
        <cfvo type="num" val="-0.1"/>
        <cfvo type="num" val="0"/>
        <cfvo type="num" val="0.1"/>
        <color rgb="FFF8696B"/>
        <color rgb="FFFFEB84"/>
        <color rgb="FF63BE7B"/>
      </colorScale>
    </cfRule>
  </conditionalFormatting>
  <conditionalFormatting sqref="Q49">
    <cfRule type="colorScale" priority="77">
      <colorScale>
        <cfvo type="num" val="-0.1"/>
        <cfvo type="num" val="0"/>
        <cfvo type="num" val="0.1"/>
        <color rgb="FFF8696B"/>
        <color rgb="FFFFEB84"/>
        <color rgb="FF63BE7B"/>
      </colorScale>
    </cfRule>
  </conditionalFormatting>
  <conditionalFormatting sqref="Q51">
    <cfRule type="colorScale" priority="75">
      <colorScale>
        <cfvo type="num" val="-0.1"/>
        <cfvo type="num" val="0"/>
        <cfvo type="num" val="0.1"/>
        <color rgb="FFF8696B"/>
        <color rgb="FFFFEB84"/>
        <color rgb="FF63BE7B"/>
      </colorScale>
    </cfRule>
  </conditionalFormatting>
  <conditionalFormatting sqref="Q51">
    <cfRule type="colorScale" priority="74">
      <colorScale>
        <cfvo type="num" val="-0.1"/>
        <cfvo type="num" val="0"/>
        <cfvo type="num" val="0.1"/>
        <color rgb="FFF8696B"/>
        <color rgb="FFFFEB84"/>
        <color rgb="FF63BE7B"/>
      </colorScale>
    </cfRule>
  </conditionalFormatting>
  <conditionalFormatting sqref="Q53">
    <cfRule type="colorScale" priority="73">
      <colorScale>
        <cfvo type="num" val="-0.1"/>
        <cfvo type="num" val="0"/>
        <cfvo type="num" val="0.1"/>
        <color rgb="FFF8696B"/>
        <color rgb="FFFFEB84"/>
        <color rgb="FF63BE7B"/>
      </colorScale>
    </cfRule>
  </conditionalFormatting>
  <conditionalFormatting sqref="Q57">
    <cfRule type="colorScale" priority="68">
      <colorScale>
        <cfvo type="num" val="-0.1"/>
        <cfvo type="num" val="0"/>
        <cfvo type="num" val="0.1"/>
        <color rgb="FFF8696B"/>
        <color rgb="FFFFEB84"/>
        <color rgb="FF63BE7B"/>
      </colorScale>
    </cfRule>
  </conditionalFormatting>
  <conditionalFormatting sqref="Q37">
    <cfRule type="colorScale" priority="65">
      <colorScale>
        <cfvo type="num" val="-0.1"/>
        <cfvo type="num" val="0"/>
        <cfvo type="num" val="0.1"/>
        <color rgb="FFF8696B"/>
        <color rgb="FFFFEB84"/>
        <color rgb="FF63BE7B"/>
      </colorScale>
    </cfRule>
  </conditionalFormatting>
  <conditionalFormatting sqref="Q38">
    <cfRule type="colorScale" priority="67">
      <colorScale>
        <cfvo type="num" val="-0.1"/>
        <cfvo type="num" val="0"/>
        <cfvo type="num" val="0.1"/>
        <color rgb="FFF8696B"/>
        <color rgb="FFFFEB84"/>
        <color rgb="FF63BE7B"/>
      </colorScale>
    </cfRule>
  </conditionalFormatting>
  <conditionalFormatting sqref="Q37">
    <cfRule type="colorScale" priority="66">
      <colorScale>
        <cfvo type="num" val="-0.1"/>
        <cfvo type="num" val="0"/>
        <cfvo type="num" val="0.1"/>
        <color rgb="FFF8696B"/>
        <color rgb="FFFFEB84"/>
        <color rgb="FF63BE7B"/>
      </colorScale>
    </cfRule>
  </conditionalFormatting>
  <conditionalFormatting sqref="Q35">
    <cfRule type="colorScale" priority="62">
      <colorScale>
        <cfvo type="num" val="-0.1"/>
        <cfvo type="num" val="0"/>
        <cfvo type="num" val="0.1"/>
        <color rgb="FFF8696B"/>
        <color rgb="FFFFEB84"/>
        <color rgb="FF63BE7B"/>
      </colorScale>
    </cfRule>
  </conditionalFormatting>
  <conditionalFormatting sqref="Q36">
    <cfRule type="colorScale" priority="64">
      <colorScale>
        <cfvo type="num" val="-0.1"/>
        <cfvo type="num" val="0"/>
        <cfvo type="num" val="0.1"/>
        <color rgb="FFF8696B"/>
        <color rgb="FFFFEB84"/>
        <color rgb="FF63BE7B"/>
      </colorScale>
    </cfRule>
  </conditionalFormatting>
  <conditionalFormatting sqref="Q35">
    <cfRule type="colorScale" priority="63">
      <colorScale>
        <cfvo type="num" val="-0.1"/>
        <cfvo type="num" val="0"/>
        <cfvo type="num" val="0.1"/>
        <color rgb="FFF8696B"/>
        <color rgb="FFFFEB84"/>
        <color rgb="FF63BE7B"/>
      </colorScale>
    </cfRule>
  </conditionalFormatting>
  <conditionalFormatting sqref="Q34">
    <cfRule type="colorScale" priority="61">
      <colorScale>
        <cfvo type="num" val="-0.1"/>
        <cfvo type="num" val="0"/>
        <cfvo type="num" val="0.1"/>
        <color rgb="FFF8696B"/>
        <color rgb="FFFFEB84"/>
        <color rgb="FF63BE7B"/>
      </colorScale>
    </cfRule>
  </conditionalFormatting>
  <conditionalFormatting sqref="Q33">
    <cfRule type="colorScale" priority="57">
      <colorScale>
        <cfvo type="num" val="-0.1"/>
        <cfvo type="num" val="0"/>
        <cfvo type="num" val="0.1"/>
        <color rgb="FFF8696B"/>
        <color rgb="FFFFEB84"/>
        <color rgb="FF63BE7B"/>
      </colorScale>
    </cfRule>
  </conditionalFormatting>
  <conditionalFormatting sqref="Q33">
    <cfRule type="colorScale" priority="58">
      <colorScale>
        <cfvo type="num" val="-0.1"/>
        <cfvo type="num" val="0"/>
        <cfvo type="num" val="0.1"/>
        <color rgb="FFF8696B"/>
        <color rgb="FFFFEB84"/>
        <color rgb="FF63BE7B"/>
      </colorScale>
    </cfRule>
  </conditionalFormatting>
  <conditionalFormatting sqref="Q30:Q32">
    <cfRule type="colorScale" priority="55">
      <colorScale>
        <cfvo type="num" val="-0.1"/>
        <cfvo type="num" val="0"/>
        <cfvo type="num" val="0.1"/>
        <color rgb="FFF8696B"/>
        <color rgb="FFFFEB84"/>
        <color rgb="FF63BE7B"/>
      </colorScale>
    </cfRule>
  </conditionalFormatting>
  <conditionalFormatting sqref="Q30:Q32">
    <cfRule type="colorScale" priority="56">
      <colorScale>
        <cfvo type="num" val="-0.1"/>
        <cfvo type="num" val="0"/>
        <cfvo type="num" val="0.1"/>
        <color rgb="FFF8696B"/>
        <color rgb="FFFFEB84"/>
        <color rgb="FF63BE7B"/>
      </colorScale>
    </cfRule>
  </conditionalFormatting>
  <conditionalFormatting sqref="Q28">
    <cfRule type="colorScale" priority="52">
      <colorScale>
        <cfvo type="num" val="-0.1"/>
        <cfvo type="num" val="0"/>
        <cfvo type="num" val="0.1"/>
        <color rgb="FFF8696B"/>
        <color rgb="FFFFEB84"/>
        <color rgb="FF63BE7B"/>
      </colorScale>
    </cfRule>
  </conditionalFormatting>
  <conditionalFormatting sqref="Q29">
    <cfRule type="colorScale" priority="54">
      <colorScale>
        <cfvo type="num" val="-0.1"/>
        <cfvo type="num" val="0"/>
        <cfvo type="num" val="0.1"/>
        <color rgb="FFF8696B"/>
        <color rgb="FFFFEB84"/>
        <color rgb="FF63BE7B"/>
      </colorScale>
    </cfRule>
  </conditionalFormatting>
  <conditionalFormatting sqref="Q28">
    <cfRule type="colorScale" priority="53">
      <colorScale>
        <cfvo type="num" val="-0.1"/>
        <cfvo type="num" val="0"/>
        <cfvo type="num" val="0.1"/>
        <color rgb="FFF8696B"/>
        <color rgb="FFFFEB84"/>
        <color rgb="FF63BE7B"/>
      </colorScale>
    </cfRule>
  </conditionalFormatting>
  <conditionalFormatting sqref="Q26">
    <cfRule type="colorScale" priority="49">
      <colorScale>
        <cfvo type="num" val="-0.1"/>
        <cfvo type="num" val="0"/>
        <cfvo type="num" val="0.1"/>
        <color rgb="FFF8696B"/>
        <color rgb="FFFFEB84"/>
        <color rgb="FF63BE7B"/>
      </colorScale>
    </cfRule>
  </conditionalFormatting>
  <conditionalFormatting sqref="Q25">
    <cfRule type="colorScale" priority="51">
      <colorScale>
        <cfvo type="num" val="-0.1"/>
        <cfvo type="num" val="0"/>
        <cfvo type="num" val="0.1"/>
        <color rgb="FFF8696B"/>
        <color rgb="FFFFEB84"/>
        <color rgb="FF63BE7B"/>
      </colorScale>
    </cfRule>
  </conditionalFormatting>
  <conditionalFormatting sqref="Q26">
    <cfRule type="colorScale" priority="50">
      <colorScale>
        <cfvo type="num" val="-0.1"/>
        <cfvo type="num" val="0"/>
        <cfvo type="num" val="0.1"/>
        <color rgb="FFF8696B"/>
        <color rgb="FFFFEB84"/>
        <color rgb="FF63BE7B"/>
      </colorScale>
    </cfRule>
  </conditionalFormatting>
  <conditionalFormatting sqref="Q24:Q25">
    <cfRule type="colorScale" priority="47">
      <colorScale>
        <cfvo type="num" val="-0.1"/>
        <cfvo type="num" val="0"/>
        <cfvo type="num" val="0.1"/>
        <color rgb="FFF8696B"/>
        <color rgb="FFFFEB84"/>
        <color rgb="FF63BE7B"/>
      </colorScale>
    </cfRule>
  </conditionalFormatting>
  <conditionalFormatting sqref="Q24:Q25">
    <cfRule type="colorScale" priority="48">
      <colorScale>
        <cfvo type="num" val="-0.1"/>
        <cfvo type="num" val="0"/>
        <cfvo type="num" val="0.1"/>
        <color rgb="FFF8696B"/>
        <color rgb="FFFFEB84"/>
        <color rgb="FF63BE7B"/>
      </colorScale>
    </cfRule>
  </conditionalFormatting>
  <conditionalFormatting sqref="Q27">
    <cfRule type="colorScale" priority="46">
      <colorScale>
        <cfvo type="num" val="-0.1"/>
        <cfvo type="num" val="0"/>
        <cfvo type="num" val="0.1"/>
        <color rgb="FFF8696B"/>
        <color rgb="FFFFEB84"/>
        <color rgb="FF63BE7B"/>
      </colorScale>
    </cfRule>
  </conditionalFormatting>
  <conditionalFormatting sqref="Q23">
    <cfRule type="colorScale" priority="45">
      <colorScale>
        <cfvo type="num" val="-0.1"/>
        <cfvo type="num" val="0"/>
        <cfvo type="num" val="0.1"/>
        <color rgb="FFF8696B"/>
        <color rgb="FFFFEB84"/>
        <color rgb="FF63BE7B"/>
      </colorScale>
    </cfRule>
  </conditionalFormatting>
  <conditionalFormatting sqref="Q22:Q23">
    <cfRule type="colorScale" priority="43">
      <colorScale>
        <cfvo type="num" val="-0.1"/>
        <cfvo type="num" val="0"/>
        <cfvo type="num" val="0.1"/>
        <color rgb="FFF8696B"/>
        <color rgb="FFFFEB84"/>
        <color rgb="FF63BE7B"/>
      </colorScale>
    </cfRule>
  </conditionalFormatting>
  <conditionalFormatting sqref="Q22:Q23">
    <cfRule type="colorScale" priority="44">
      <colorScale>
        <cfvo type="num" val="-0.1"/>
        <cfvo type="num" val="0"/>
        <cfvo type="num" val="0.1"/>
        <color rgb="FFF8696B"/>
        <color rgb="FFFFEB84"/>
        <color rgb="FF63BE7B"/>
      </colorScale>
    </cfRule>
  </conditionalFormatting>
  <conditionalFormatting sqref="Q21">
    <cfRule type="colorScale" priority="42">
      <colorScale>
        <cfvo type="num" val="-0.1"/>
        <cfvo type="num" val="0"/>
        <cfvo type="num" val="0.1"/>
        <color rgb="FFF8696B"/>
        <color rgb="FFFFEB84"/>
        <color rgb="FF63BE7B"/>
      </colorScale>
    </cfRule>
  </conditionalFormatting>
  <conditionalFormatting sqref="Q20:Q21">
    <cfRule type="colorScale" priority="40">
      <colorScale>
        <cfvo type="num" val="-0.1"/>
        <cfvo type="num" val="0"/>
        <cfvo type="num" val="0.1"/>
        <color rgb="FFF8696B"/>
        <color rgb="FFFFEB84"/>
        <color rgb="FF63BE7B"/>
      </colorScale>
    </cfRule>
  </conditionalFormatting>
  <conditionalFormatting sqref="Q20:Q21">
    <cfRule type="colorScale" priority="41">
      <colorScale>
        <cfvo type="num" val="-0.1"/>
        <cfvo type="num" val="0"/>
        <cfvo type="num" val="0.1"/>
        <color rgb="FFF8696B"/>
        <color rgb="FFFFEB84"/>
        <color rgb="FF63BE7B"/>
      </colorScale>
    </cfRule>
  </conditionalFormatting>
  <conditionalFormatting sqref="Q19">
    <cfRule type="colorScale" priority="39">
      <colorScale>
        <cfvo type="num" val="-0.1"/>
        <cfvo type="num" val="0"/>
        <cfvo type="num" val="0.1"/>
        <color rgb="FFF8696B"/>
        <color rgb="FFFFEB84"/>
        <color rgb="FF63BE7B"/>
      </colorScale>
    </cfRule>
  </conditionalFormatting>
  <conditionalFormatting sqref="Q18:Q19">
    <cfRule type="colorScale" priority="37">
      <colorScale>
        <cfvo type="num" val="-0.1"/>
        <cfvo type="num" val="0"/>
        <cfvo type="num" val="0.1"/>
        <color rgb="FFF8696B"/>
        <color rgb="FFFFEB84"/>
        <color rgb="FF63BE7B"/>
      </colorScale>
    </cfRule>
  </conditionalFormatting>
  <conditionalFormatting sqref="Q18:Q19">
    <cfRule type="colorScale" priority="38">
      <colorScale>
        <cfvo type="num" val="-0.1"/>
        <cfvo type="num" val="0"/>
        <cfvo type="num" val="0.1"/>
        <color rgb="FFF8696B"/>
        <color rgb="FFFFEB84"/>
        <color rgb="FF63BE7B"/>
      </colorScale>
    </cfRule>
  </conditionalFormatting>
  <conditionalFormatting sqref="Q17">
    <cfRule type="colorScale" priority="36">
      <colorScale>
        <cfvo type="num" val="-0.1"/>
        <cfvo type="num" val="0"/>
        <cfvo type="num" val="0.1"/>
        <color rgb="FFF8696B"/>
        <color rgb="FFFFEB84"/>
        <color rgb="FF63BE7B"/>
      </colorScale>
    </cfRule>
  </conditionalFormatting>
  <conditionalFormatting sqref="Q16:Q17">
    <cfRule type="colorScale" priority="34">
      <colorScale>
        <cfvo type="num" val="-0.1"/>
        <cfvo type="num" val="0"/>
        <cfvo type="num" val="0.1"/>
        <color rgb="FFF8696B"/>
        <color rgb="FFFFEB84"/>
        <color rgb="FF63BE7B"/>
      </colorScale>
    </cfRule>
  </conditionalFormatting>
  <conditionalFormatting sqref="Q16:Q17">
    <cfRule type="colorScale" priority="35">
      <colorScale>
        <cfvo type="num" val="-0.1"/>
        <cfvo type="num" val="0"/>
        <cfvo type="num" val="0.1"/>
        <color rgb="FFF8696B"/>
        <color rgb="FFFFEB84"/>
        <color rgb="FF63BE7B"/>
      </colorScale>
    </cfRule>
  </conditionalFormatting>
  <conditionalFormatting sqref="Q15">
    <cfRule type="colorScale" priority="33">
      <colorScale>
        <cfvo type="num" val="-0.1"/>
        <cfvo type="num" val="0"/>
        <cfvo type="num" val="0.1"/>
        <color rgb="FFF8696B"/>
        <color rgb="FFFFEB84"/>
        <color rgb="FF63BE7B"/>
      </colorScale>
    </cfRule>
  </conditionalFormatting>
  <conditionalFormatting sqref="Q14:Q15">
    <cfRule type="colorScale" priority="31">
      <colorScale>
        <cfvo type="num" val="-0.1"/>
        <cfvo type="num" val="0"/>
        <cfvo type="num" val="0.1"/>
        <color rgb="FFF8696B"/>
        <color rgb="FFFFEB84"/>
        <color rgb="FF63BE7B"/>
      </colorScale>
    </cfRule>
  </conditionalFormatting>
  <conditionalFormatting sqref="Q14:Q15">
    <cfRule type="colorScale" priority="32">
      <colorScale>
        <cfvo type="num" val="-0.1"/>
        <cfvo type="num" val="0"/>
        <cfvo type="num" val="0.1"/>
        <color rgb="FFF8696B"/>
        <color rgb="FFFFEB84"/>
        <color rgb="FF63BE7B"/>
      </colorScale>
    </cfRule>
  </conditionalFormatting>
  <conditionalFormatting sqref="Q13">
    <cfRule type="colorScale" priority="30">
      <colorScale>
        <cfvo type="num" val="-0.1"/>
        <cfvo type="num" val="0"/>
        <cfvo type="num" val="0.1"/>
        <color rgb="FFF8696B"/>
        <color rgb="FFFFEB84"/>
        <color rgb="FF63BE7B"/>
      </colorScale>
    </cfRule>
  </conditionalFormatting>
  <conditionalFormatting sqref="Q13">
    <cfRule type="colorScale" priority="28">
      <colorScale>
        <cfvo type="num" val="-0.1"/>
        <cfvo type="num" val="0"/>
        <cfvo type="num" val="0.1"/>
        <color rgb="FFF8696B"/>
        <color rgb="FFFFEB84"/>
        <color rgb="FF63BE7B"/>
      </colorScale>
    </cfRule>
  </conditionalFormatting>
  <conditionalFormatting sqref="Q13">
    <cfRule type="colorScale" priority="29">
      <colorScale>
        <cfvo type="num" val="-0.1"/>
        <cfvo type="num" val="0"/>
        <cfvo type="num" val="0.1"/>
        <color rgb="FFF8696B"/>
        <color rgb="FFFFEB84"/>
        <color rgb="FF63BE7B"/>
      </colorScale>
    </cfRule>
  </conditionalFormatting>
  <conditionalFormatting sqref="Q12">
    <cfRule type="colorScale" priority="26">
      <colorScale>
        <cfvo type="num" val="-0.1"/>
        <cfvo type="num" val="0"/>
        <cfvo type="num" val="0.1"/>
        <color rgb="FFF8696B"/>
        <color rgb="FFFFEB84"/>
        <color rgb="FF63BE7B"/>
      </colorScale>
    </cfRule>
  </conditionalFormatting>
  <conditionalFormatting sqref="Q12">
    <cfRule type="colorScale" priority="27">
      <colorScale>
        <cfvo type="num" val="-0.1"/>
        <cfvo type="num" val="0"/>
        <cfvo type="num" val="0.1"/>
        <color rgb="FFF8696B"/>
        <color rgb="FFFFEB84"/>
        <color rgb="FF63BE7B"/>
      </colorScale>
    </cfRule>
  </conditionalFormatting>
  <conditionalFormatting sqref="Q11">
    <cfRule type="colorScale" priority="25">
      <colorScale>
        <cfvo type="num" val="-0.1"/>
        <cfvo type="num" val="0"/>
        <cfvo type="num" val="0.1"/>
        <color rgb="FFF8696B"/>
        <color rgb="FFFFEB84"/>
        <color rgb="FF63BE7B"/>
      </colorScale>
    </cfRule>
  </conditionalFormatting>
  <conditionalFormatting sqref="Q11">
    <cfRule type="colorScale" priority="23">
      <colorScale>
        <cfvo type="num" val="-0.1"/>
        <cfvo type="num" val="0"/>
        <cfvo type="num" val="0.1"/>
        <color rgb="FFF8696B"/>
        <color rgb="FFFFEB84"/>
        <color rgb="FF63BE7B"/>
      </colorScale>
    </cfRule>
  </conditionalFormatting>
  <conditionalFormatting sqref="Q11">
    <cfRule type="colorScale" priority="24">
      <colorScale>
        <cfvo type="num" val="-0.1"/>
        <cfvo type="num" val="0"/>
        <cfvo type="num" val="0.1"/>
        <color rgb="FFF8696B"/>
        <color rgb="FFFFEB84"/>
        <color rgb="FF63BE7B"/>
      </colorScale>
    </cfRule>
  </conditionalFormatting>
  <conditionalFormatting sqref="Q10">
    <cfRule type="colorScale" priority="21">
      <colorScale>
        <cfvo type="num" val="-0.1"/>
        <cfvo type="num" val="0"/>
        <cfvo type="num" val="0.1"/>
        <color rgb="FFF8696B"/>
        <color rgb="FFFFEB84"/>
        <color rgb="FF63BE7B"/>
      </colorScale>
    </cfRule>
  </conditionalFormatting>
  <conditionalFormatting sqref="Q10">
    <cfRule type="colorScale" priority="22">
      <colorScale>
        <cfvo type="num" val="-0.1"/>
        <cfvo type="num" val="0"/>
        <cfvo type="num" val="0.1"/>
        <color rgb="FFF8696B"/>
        <color rgb="FFFFEB84"/>
        <color rgb="FF63BE7B"/>
      </colorScale>
    </cfRule>
  </conditionalFormatting>
  <conditionalFormatting sqref="Q9">
    <cfRule type="colorScale" priority="20">
      <colorScale>
        <cfvo type="num" val="-0.1"/>
        <cfvo type="num" val="0"/>
        <cfvo type="num" val="0.1"/>
        <color rgb="FFF8696B"/>
        <color rgb="FFFFEB84"/>
        <color rgb="FF63BE7B"/>
      </colorScale>
    </cfRule>
  </conditionalFormatting>
  <conditionalFormatting sqref="Q9">
    <cfRule type="colorScale" priority="18">
      <colorScale>
        <cfvo type="num" val="-0.1"/>
        <cfvo type="num" val="0"/>
        <cfvo type="num" val="0.1"/>
        <color rgb="FFF8696B"/>
        <color rgb="FFFFEB84"/>
        <color rgb="FF63BE7B"/>
      </colorScale>
    </cfRule>
  </conditionalFormatting>
  <conditionalFormatting sqref="Q9">
    <cfRule type="colorScale" priority="19">
      <colorScale>
        <cfvo type="num" val="-0.1"/>
        <cfvo type="num" val="0"/>
        <cfvo type="num" val="0.1"/>
        <color rgb="FFF8696B"/>
        <color rgb="FFFFEB84"/>
        <color rgb="FF63BE7B"/>
      </colorScale>
    </cfRule>
  </conditionalFormatting>
  <conditionalFormatting sqref="Q8">
    <cfRule type="colorScale" priority="16">
      <colorScale>
        <cfvo type="num" val="-0.1"/>
        <cfvo type="num" val="0"/>
        <cfvo type="num" val="0.1"/>
        <color rgb="FFF8696B"/>
        <color rgb="FFFFEB84"/>
        <color rgb="FF63BE7B"/>
      </colorScale>
    </cfRule>
  </conditionalFormatting>
  <conditionalFormatting sqref="Q8">
    <cfRule type="colorScale" priority="17">
      <colorScale>
        <cfvo type="num" val="-0.1"/>
        <cfvo type="num" val="0"/>
        <cfvo type="num" val="0.1"/>
        <color rgb="FFF8696B"/>
        <color rgb="FFFFEB84"/>
        <color rgb="FF63BE7B"/>
      </colorScale>
    </cfRule>
  </conditionalFormatting>
  <conditionalFormatting sqref="Q7">
    <cfRule type="colorScale" priority="10">
      <colorScale>
        <cfvo type="num" val="-0.1"/>
        <cfvo type="num" val="0"/>
        <cfvo type="num" val="0.1"/>
        <color rgb="FFF8696B"/>
        <color rgb="FFFFEB84"/>
        <color rgb="FF63BE7B"/>
      </colorScale>
    </cfRule>
  </conditionalFormatting>
  <conditionalFormatting sqref="Q7">
    <cfRule type="colorScale" priority="8">
      <colorScale>
        <cfvo type="num" val="-0.1"/>
        <cfvo type="num" val="0"/>
        <cfvo type="num" val="0.1"/>
        <color rgb="FFF8696B"/>
        <color rgb="FFFFEB84"/>
        <color rgb="FF63BE7B"/>
      </colorScale>
    </cfRule>
  </conditionalFormatting>
  <conditionalFormatting sqref="Q7">
    <cfRule type="colorScale" priority="9">
      <colorScale>
        <cfvo type="num" val="-0.1"/>
        <cfvo type="num" val="0"/>
        <cfvo type="num" val="0.1"/>
        <color rgb="FFF8696B"/>
        <color rgb="FFFFEB84"/>
        <color rgb="FF63BE7B"/>
      </colorScale>
    </cfRule>
  </conditionalFormatting>
  <conditionalFormatting sqref="Q6">
    <cfRule type="colorScale" priority="6">
      <colorScale>
        <cfvo type="num" val="-0.1"/>
        <cfvo type="num" val="0"/>
        <cfvo type="num" val="0.1"/>
        <color rgb="FFF8696B"/>
        <color rgb="FFFFEB84"/>
        <color rgb="FF63BE7B"/>
      </colorScale>
    </cfRule>
  </conditionalFormatting>
  <conditionalFormatting sqref="Q6">
    <cfRule type="colorScale" priority="7">
      <colorScale>
        <cfvo type="num" val="-0.1"/>
        <cfvo type="num" val="0"/>
        <cfvo type="num" val="0.1"/>
        <color rgb="FFF8696B"/>
        <color rgb="FFFFEB84"/>
        <color rgb="FF63BE7B"/>
      </colorScale>
    </cfRule>
  </conditionalFormatting>
  <hyperlinks>
    <hyperlink ref="T49" r:id="rId1" display="Press Release"/>
    <hyperlink ref="T51" r:id="rId2" display="Press Release"/>
    <hyperlink ref="T53" r:id="rId3" display="Press Release"/>
    <hyperlink ref="T55" r:id="rId4" display="Press Release"/>
    <hyperlink ref="T57" r:id="rId5" display="Press Release"/>
    <hyperlink ref="T47" r:id="rId6" display="Press Release"/>
    <hyperlink ref="T45" r:id="rId7" display="Press Release"/>
    <hyperlink ref="T43" r:id="rId8" display="Press Release"/>
    <hyperlink ref="T41" r:id="rId9" display="Press Release"/>
    <hyperlink ref="T39" r:id="rId10" display="Press Release"/>
    <hyperlink ref="T37" r:id="rId11" display="Press Release"/>
    <hyperlink ref="T35" r:id="rId12" display="Press Release"/>
    <hyperlink ref="T33" r:id="rId13" display="Press Release"/>
    <hyperlink ref="T30:T32" r:id="rId14" display="Press Release"/>
    <hyperlink ref="T28" r:id="rId15" display="Press Release"/>
    <hyperlink ref="T26" r:id="rId16" display="Press Release"/>
    <hyperlink ref="T24" r:id="rId17" display="Press Release"/>
    <hyperlink ref="T22" r:id="rId18" display="Press Release"/>
    <hyperlink ref="T20" r:id="rId19" display="Press Release"/>
    <hyperlink ref="T18" r:id="rId20" display="Press Release"/>
    <hyperlink ref="T16" r:id="rId21" display="Press Release"/>
    <hyperlink ref="T14" r:id="rId22" display="Press Release"/>
    <hyperlink ref="T12" r:id="rId23" display="Press Release"/>
    <hyperlink ref="T10" r:id="rId24" display="Press Release"/>
    <hyperlink ref="T8" r:id="rId25" display="Press Release"/>
    <hyperlink ref="T6" r:id="rId26" display="Press Release"/>
  </hyperlinks>
  <pageMargins left="0.7" right="0.7" top="0.75" bottom="0.75" header="0.3" footer="0.3"/>
  <pageSetup orientation="portrait" paperSize="1"/>
  <legacyDrawing r:id="rId2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43415EEC-2DA8-49AC-BF38-E68107664AA0}">
  <sheetPr codeName="Sheet1">
    <pageSetUpPr fitToPage="1"/>
  </sheetPr>
  <dimension ref="A1:BS83"/>
  <sheetViews>
    <sheetView workbookViewId="0" topLeftCell="A1">
      <pane xSplit="2" ySplit="2" topLeftCell="C3" activePane="bottomRight" state="frozen"/>
      <selection pane="topLeft" activeCell="A1" sqref="A1"/>
      <selection pane="bottomLeft" activeCell="A3" sqref="A3"/>
      <selection pane="topRight" activeCell="C1" sqref="C1"/>
      <selection pane="bottomRight" activeCell="A1" sqref="A1"/>
    </sheetView>
  </sheetViews>
  <sheetFormatPr defaultColWidth="9.28428571428571" defaultRowHeight="15" outlineLevelRow="1" outlineLevelCol="1"/>
  <cols>
    <col min="1" max="1" width="41.2857142857143" style="696" customWidth="1"/>
    <col min="2" max="7" width="10.7142857142857" style="696" customWidth="1"/>
    <col min="8" max="11" width="10.7142857142857" style="696" hidden="1" customWidth="1" outlineLevel="1"/>
    <col min="12" max="12" width="10.7142857142857" style="696" customWidth="1" collapsed="1"/>
    <col min="13" max="16" width="10.7142857142857" style="696" hidden="1" customWidth="1" outlineLevel="1"/>
    <col min="17" max="17" width="10.7142857142857" style="696" customWidth="1" collapsed="1"/>
    <col min="18" max="21" width="10.7142857142857" style="696" hidden="1" customWidth="1" outlineLevel="1"/>
    <col min="22" max="22" width="10.7142857142857" style="696" customWidth="1" collapsed="1"/>
    <col min="23" max="26" width="10.7142857142857" style="696" hidden="1" customWidth="1" outlineLevel="1"/>
    <col min="27" max="27" width="10.7142857142857" style="696" customWidth="1" collapsed="1"/>
    <col min="28" max="31" width="10.7142857142857" style="696" hidden="1" customWidth="1" outlineLevel="1"/>
    <col min="32" max="32" width="10.7142857142857" style="696" customWidth="1" collapsed="1"/>
    <col min="33" max="36" width="10.7142857142857" style="696" hidden="1" customWidth="1" outlineLevel="1"/>
    <col min="37" max="37" width="10.7142857142857" style="696" customWidth="1" collapsed="1"/>
    <col min="38" max="41" width="10.7142857142857" style="696" hidden="1" customWidth="1" outlineLevel="1"/>
    <col min="42" max="42" width="10.7142857142857" style="696" customWidth="1" collapsed="1"/>
    <col min="43" max="46" width="10.7142857142857" style="696" hidden="1" customWidth="1" outlineLevel="1"/>
    <col min="47" max="47" width="10.7142857142857" style="696" collapsed="1"/>
    <col min="48" max="50" width="10.7142857142857" style="696" hidden="1" customWidth="1" outlineLevel="1" collapsed="1"/>
    <col min="51" max="51" width="10.7142857142857" style="696" hidden="1" customWidth="1" outlineLevel="1"/>
    <col min="52" max="52" width="10.7142857142857" style="696" customWidth="1" collapsed="1"/>
    <col min="53" max="55" width="10.7142857142857" style="696" hidden="1" customWidth="1" outlineLevel="1" collapsed="1"/>
    <col min="56" max="56" width="10.7142857142857" style="696" hidden="1" customWidth="1" outlineLevel="1"/>
    <col min="57" max="57" width="10.7142857142857" style="696" customWidth="1" collapsed="1"/>
    <col min="58" max="60" width="10.7142857142857" style="696" customWidth="1" outlineLevel="1" collapsed="1"/>
    <col min="61" max="61" width="10.7142857142857" style="696" customWidth="1" outlineLevel="1"/>
    <col min="62" max="62" width="10.7142857142857" style="696" customWidth="1"/>
    <col min="63" max="65" width="10.7142857142857" style="696" hidden="1" customWidth="1" outlineLevel="1" collapsed="1"/>
    <col min="66" max="66" width="10.7142857142857" style="696" hidden="1" customWidth="1" outlineLevel="1"/>
    <col min="67" max="67" width="10.7142857142857" style="696" customWidth="1" collapsed="1"/>
    <col min="68" max="70" width="10.7142857142857" style="696" customWidth="1"/>
    <col min="71" max="71" width="8.71428571428571" style="696" customWidth="1"/>
    <col min="72" max="72" width="9.28571428571429" style="696" customWidth="1"/>
    <col min="73" max="16384" width="9.28571428571429" style="696"/>
  </cols>
  <sheetData>
    <row r="1" spans="1:71" ht="28.5">
      <c r="A1" s="174" t="str">
        <f>MO.CompanyName</f>
        <v>American Financial Group, Inc.</v>
      </c>
      <c r="B1" s="959"/>
      <c r="C1" s="1269">
        <f t="shared" si="0" ref="C1:AU1">INDEX(MO_Common_QEndDate,0,COLUMN())</f>
        <v>40178</v>
      </c>
      <c r="D1" s="1270">
        <f t="shared" si="0"/>
        <v>40543</v>
      </c>
      <c r="E1" s="1270">
        <f t="shared" si="0"/>
        <v>40908</v>
      </c>
      <c r="F1" s="1270">
        <f t="shared" si="0"/>
        <v>41274</v>
      </c>
      <c r="G1" s="1270">
        <f t="shared" si="0"/>
        <v>41639</v>
      </c>
      <c r="H1" s="292">
        <f t="shared" si="0"/>
        <v>41729</v>
      </c>
      <c r="I1" s="292">
        <f t="shared" si="0"/>
        <v>41820</v>
      </c>
      <c r="J1" s="292">
        <f t="shared" si="0"/>
        <v>41912</v>
      </c>
      <c r="K1" s="292">
        <f t="shared" si="0"/>
        <v>42004</v>
      </c>
      <c r="L1" s="1270">
        <f t="shared" si="0"/>
        <v>42004</v>
      </c>
      <c r="M1" s="292">
        <f t="shared" si="0"/>
        <v>42094</v>
      </c>
      <c r="N1" s="292">
        <f t="shared" si="0"/>
        <v>42185</v>
      </c>
      <c r="O1" s="292">
        <f t="shared" si="0"/>
        <v>42277</v>
      </c>
      <c r="P1" s="292">
        <f t="shared" si="0"/>
        <v>42369</v>
      </c>
      <c r="Q1" s="1270">
        <f t="shared" si="0"/>
        <v>42369</v>
      </c>
      <c r="R1" s="292">
        <f t="shared" si="0"/>
        <v>42460</v>
      </c>
      <c r="S1" s="292">
        <f t="shared" si="0"/>
        <v>42551</v>
      </c>
      <c r="T1" s="292">
        <f t="shared" si="0"/>
        <v>42643</v>
      </c>
      <c r="U1" s="292">
        <f t="shared" si="0"/>
        <v>42735</v>
      </c>
      <c r="V1" s="1270">
        <f t="shared" si="0"/>
        <v>42735</v>
      </c>
      <c r="W1" s="292">
        <f t="shared" si="0"/>
        <v>42825</v>
      </c>
      <c r="X1" s="292">
        <f t="shared" si="0"/>
        <v>42916</v>
      </c>
      <c r="Y1" s="292">
        <f t="shared" si="0"/>
        <v>43008</v>
      </c>
      <c r="Z1" s="292">
        <f t="shared" si="0"/>
        <v>43100</v>
      </c>
      <c r="AA1" s="1270">
        <f t="shared" si="0"/>
        <v>43100</v>
      </c>
      <c r="AB1" s="292">
        <f t="shared" si="0"/>
        <v>43190</v>
      </c>
      <c r="AC1" s="292">
        <f t="shared" si="0"/>
        <v>43281</v>
      </c>
      <c r="AD1" s="292">
        <f t="shared" si="0"/>
        <v>43373</v>
      </c>
      <c r="AE1" s="292">
        <f t="shared" si="0"/>
        <v>43465</v>
      </c>
      <c r="AF1" s="1270">
        <f t="shared" si="0"/>
        <v>43465</v>
      </c>
      <c r="AG1" s="292">
        <f t="shared" si="0"/>
        <v>43555</v>
      </c>
      <c r="AH1" s="292">
        <f t="shared" si="0"/>
        <v>43646</v>
      </c>
      <c r="AI1" s="292">
        <f t="shared" si="0"/>
        <v>43738</v>
      </c>
      <c r="AJ1" s="292">
        <f t="shared" si="0"/>
        <v>43830</v>
      </c>
      <c r="AK1" s="1270">
        <f t="shared" si="0"/>
        <v>43830</v>
      </c>
      <c r="AL1" s="292">
        <f t="shared" si="1" ref="AL1:AQ1">INDEX(MO_Common_QEndDate,0,COLUMN())</f>
        <v>43921</v>
      </c>
      <c r="AM1" s="292">
        <f t="shared" si="1"/>
        <v>44012</v>
      </c>
      <c r="AN1" s="292">
        <f t="shared" si="1"/>
        <v>44104</v>
      </c>
      <c r="AO1" s="292">
        <f t="shared" si="1"/>
        <v>44196</v>
      </c>
      <c r="AP1" s="1270">
        <f t="shared" si="1"/>
        <v>44196</v>
      </c>
      <c r="AQ1" s="292">
        <f t="shared" si="1"/>
        <v>44286</v>
      </c>
      <c r="AR1" s="292">
        <f t="shared" si="0"/>
        <v>44377</v>
      </c>
      <c r="AS1" s="292">
        <f t="shared" si="0"/>
        <v>44469</v>
      </c>
      <c r="AT1" s="292">
        <f t="shared" si="0"/>
        <v>44561</v>
      </c>
      <c r="AU1" s="1270">
        <f t="shared" si="0"/>
        <v>44561</v>
      </c>
      <c r="AV1" s="292">
        <f t="shared" si="2" ref="AV1:BE1">INDEX(MO_Common_QEndDate,0,COLUMN())</f>
        <v>44651</v>
      </c>
      <c r="AW1" s="292">
        <f t="shared" si="2"/>
        <v>44742</v>
      </c>
      <c r="AX1" s="292">
        <f t="shared" si="2"/>
        <v>44834</v>
      </c>
      <c r="AY1" s="292">
        <f t="shared" si="2"/>
        <v>44926</v>
      </c>
      <c r="AZ1" s="1270">
        <f t="shared" si="2"/>
        <v>44926</v>
      </c>
      <c r="BA1" s="292">
        <f t="shared" si="2"/>
        <v>45016</v>
      </c>
      <c r="BB1" s="292">
        <f t="shared" si="2"/>
        <v>45107</v>
      </c>
      <c r="BC1" s="292">
        <f>INDEX(MO_Common_QEndDate,0,COLUMN())</f>
        <v>45199</v>
      </c>
      <c r="BD1" s="292">
        <f t="shared" si="2"/>
        <v>45291</v>
      </c>
      <c r="BE1" s="1270">
        <f t="shared" si="2"/>
        <v>45291</v>
      </c>
      <c r="BF1" s="292">
        <f t="shared" si="3" ref="BF1:BJ1">INDEX(MO_Common_QEndDate,0,COLUMN())</f>
        <v>45382</v>
      </c>
      <c r="BG1" s="292">
        <f t="shared" si="3"/>
        <v>45473</v>
      </c>
      <c r="BH1" s="902">
        <f>INDEX(MO_Common_QEndDate,0,COLUMN())</f>
        <v>45565</v>
      </c>
      <c r="BI1" s="172">
        <f t="shared" si="3"/>
        <v>45657</v>
      </c>
      <c r="BJ1" s="1271">
        <f t="shared" si="3"/>
        <v>45657</v>
      </c>
      <c r="BK1" s="172">
        <f t="shared" si="4" ref="BK1:BR1">INDEX(MO_Common_QEndDate,0,COLUMN())</f>
        <v>45747</v>
      </c>
      <c r="BL1" s="172">
        <f t="shared" si="4"/>
        <v>45838</v>
      </c>
      <c r="BM1" s="172">
        <f t="shared" si="4"/>
        <v>45930</v>
      </c>
      <c r="BN1" s="172">
        <f t="shared" si="4"/>
        <v>46022</v>
      </c>
      <c r="BO1" s="1271">
        <f t="shared" si="4"/>
        <v>46022</v>
      </c>
      <c r="BP1" s="1270">
        <f t="shared" si="4"/>
        <v>46387</v>
      </c>
      <c r="BQ1" s="1270">
        <f t="shared" si="4"/>
        <v>46752</v>
      </c>
      <c r="BR1" s="1271">
        <f t="shared" si="4"/>
        <v>47118</v>
      </c>
      <c r="BS1" s="959"/>
    </row>
    <row r="2" spans="1:71" s="704" customFormat="1" ht="15">
      <c r="A2" s="197" t="s">
        <v>430</v>
      </c>
      <c r="B2" s="198" t="str">
        <f>MO.ReportFX</f>
        <v>USD</v>
      </c>
      <c r="C2" s="1272" t="str">
        <f t="shared" si="5" ref="C2:AU2">INDEX(MO_Common_ColumnHeader,0,COLUMN())</f>
        <v>FY2009</v>
      </c>
      <c r="D2" s="1273" t="str">
        <f t="shared" si="5"/>
        <v>FY2010</v>
      </c>
      <c r="E2" s="1273" t="str">
        <f t="shared" si="5"/>
        <v>FY2011</v>
      </c>
      <c r="F2" s="1273" t="str">
        <f t="shared" si="5"/>
        <v>FY2012</v>
      </c>
      <c r="G2" s="1273" t="str">
        <f t="shared" si="5"/>
        <v>FY2013</v>
      </c>
      <c r="H2" s="334" t="str">
        <f t="shared" si="5"/>
        <v>Q1-2014</v>
      </c>
      <c r="I2" s="334" t="str">
        <f t="shared" si="5"/>
        <v>Q2-2014</v>
      </c>
      <c r="J2" s="334" t="str">
        <f t="shared" si="5"/>
        <v>Q3-2014</v>
      </c>
      <c r="K2" s="334" t="str">
        <f t="shared" si="5"/>
        <v>Q4-2014</v>
      </c>
      <c r="L2" s="1273" t="str">
        <f t="shared" si="5"/>
        <v>FY2014</v>
      </c>
      <c r="M2" s="334" t="str">
        <f t="shared" si="5"/>
        <v>Q1-2015</v>
      </c>
      <c r="N2" s="334" t="str">
        <f t="shared" si="5"/>
        <v>Q2-2015</v>
      </c>
      <c r="O2" s="334" t="str">
        <f t="shared" si="5"/>
        <v>Q3-2015</v>
      </c>
      <c r="P2" s="334" t="str">
        <f t="shared" si="5"/>
        <v>Q4-2015</v>
      </c>
      <c r="Q2" s="1273" t="str">
        <f t="shared" si="5"/>
        <v>FY2015</v>
      </c>
      <c r="R2" s="334" t="str">
        <f t="shared" si="5"/>
        <v>Q1-2016</v>
      </c>
      <c r="S2" s="334" t="str">
        <f t="shared" si="5"/>
        <v>Q2-2016</v>
      </c>
      <c r="T2" s="334" t="str">
        <f t="shared" si="5"/>
        <v>Q3-2016</v>
      </c>
      <c r="U2" s="334" t="str">
        <f t="shared" si="5"/>
        <v>Q4-2016</v>
      </c>
      <c r="V2" s="1273" t="str">
        <f t="shared" si="5"/>
        <v>FY2016</v>
      </c>
      <c r="W2" s="334" t="str">
        <f t="shared" si="5"/>
        <v>Q1-2017</v>
      </c>
      <c r="X2" s="334" t="str">
        <f t="shared" si="5"/>
        <v>Q2-2017</v>
      </c>
      <c r="Y2" s="334" t="str">
        <f t="shared" si="5"/>
        <v>Q3-2017</v>
      </c>
      <c r="Z2" s="334" t="str">
        <f t="shared" si="5"/>
        <v>Q4-2017</v>
      </c>
      <c r="AA2" s="1273" t="str">
        <f t="shared" si="5"/>
        <v>FY2017</v>
      </c>
      <c r="AB2" s="334" t="str">
        <f t="shared" si="5"/>
        <v>Q1-2018</v>
      </c>
      <c r="AC2" s="334" t="str">
        <f t="shared" si="5"/>
        <v>Q2-2018</v>
      </c>
      <c r="AD2" s="334" t="str">
        <f t="shared" si="5"/>
        <v>Q3-2018</v>
      </c>
      <c r="AE2" s="334" t="str">
        <f t="shared" si="5"/>
        <v>Q4-2018</v>
      </c>
      <c r="AF2" s="1273" t="str">
        <f t="shared" si="5"/>
        <v>FY2018</v>
      </c>
      <c r="AG2" s="334" t="str">
        <f t="shared" si="5"/>
        <v>Q1-2019</v>
      </c>
      <c r="AH2" s="334" t="str">
        <f t="shared" si="5"/>
        <v>Q2-2019</v>
      </c>
      <c r="AI2" s="334" t="str">
        <f t="shared" si="5"/>
        <v>Q3-2019</v>
      </c>
      <c r="AJ2" s="334" t="str">
        <f t="shared" si="5"/>
        <v>Q4-2019</v>
      </c>
      <c r="AK2" s="1273" t="str">
        <f t="shared" si="5"/>
        <v>FY2019</v>
      </c>
      <c r="AL2" s="334" t="str">
        <f t="shared" si="6" ref="AL2:AQ2">INDEX(MO_Common_ColumnHeader,0,COLUMN())</f>
        <v>Q1-2020</v>
      </c>
      <c r="AM2" s="334" t="str">
        <f t="shared" si="6"/>
        <v>Q2-2020</v>
      </c>
      <c r="AN2" s="334" t="str">
        <f t="shared" si="6"/>
        <v>Q3-2020</v>
      </c>
      <c r="AO2" s="334" t="str">
        <f t="shared" si="6"/>
        <v>Q4-2020</v>
      </c>
      <c r="AP2" s="1273" t="str">
        <f t="shared" si="6"/>
        <v>FY2020</v>
      </c>
      <c r="AQ2" s="334" t="str">
        <f t="shared" si="6"/>
        <v>Q1-2021</v>
      </c>
      <c r="AR2" s="334" t="str">
        <f t="shared" si="5"/>
        <v>Q2-2021</v>
      </c>
      <c r="AS2" s="334" t="str">
        <f t="shared" si="5"/>
        <v>Q3-2021</v>
      </c>
      <c r="AT2" s="334" t="str">
        <f t="shared" si="5"/>
        <v>Q4-2021</v>
      </c>
      <c r="AU2" s="1273" t="str">
        <f t="shared" si="5"/>
        <v>FY2021</v>
      </c>
      <c r="AV2" s="334" t="str">
        <f t="shared" si="7" ref="AV2:BE2">INDEX(MO_Common_ColumnHeader,0,COLUMN())</f>
        <v>Q1-2022</v>
      </c>
      <c r="AW2" s="334" t="str">
        <f t="shared" si="7"/>
        <v>Q2-2022</v>
      </c>
      <c r="AX2" s="334" t="str">
        <f t="shared" si="7"/>
        <v>Q3-2022</v>
      </c>
      <c r="AY2" s="334" t="str">
        <f t="shared" si="7"/>
        <v>Q4-2022</v>
      </c>
      <c r="AZ2" s="1273" t="str">
        <f t="shared" si="7"/>
        <v>FY2022</v>
      </c>
      <c r="BA2" s="334" t="str">
        <f t="shared" si="7"/>
        <v>Q1-2023</v>
      </c>
      <c r="BB2" s="334" t="str">
        <f t="shared" si="7"/>
        <v>Q2-2023</v>
      </c>
      <c r="BC2" s="334" t="str">
        <f>INDEX(MO_Common_ColumnHeader,0,COLUMN())</f>
        <v>Q3-2023</v>
      </c>
      <c r="BD2" s="334" t="str">
        <f t="shared" si="7"/>
        <v>Q4-2023</v>
      </c>
      <c r="BE2" s="1273" t="str">
        <f t="shared" si="7"/>
        <v>FY2023</v>
      </c>
      <c r="BF2" s="334" t="str">
        <f t="shared" si="8" ref="BF2:BJ2">INDEX(MO_Common_ColumnHeader,0,COLUMN())</f>
        <v>Q1-2024</v>
      </c>
      <c r="BG2" s="334" t="str">
        <f t="shared" si="8"/>
        <v>Q2-2024</v>
      </c>
      <c r="BH2" s="903" t="str">
        <f>INDEX(MO_Common_ColumnHeader,0,COLUMN())</f>
        <v>Q3-2024</v>
      </c>
      <c r="BI2" s="74" t="str">
        <f t="shared" si="8"/>
        <v>Q4-2024</v>
      </c>
      <c r="BJ2" s="1274" t="str">
        <f t="shared" si="8"/>
        <v>FY2024</v>
      </c>
      <c r="BK2" s="74" t="str">
        <f t="shared" si="9" ref="BK2:BR2">INDEX(MO_Common_ColumnHeader,0,COLUMN())</f>
        <v>Q1-2025</v>
      </c>
      <c r="BL2" s="74" t="str">
        <f t="shared" si="9"/>
        <v>Q2-2025</v>
      </c>
      <c r="BM2" s="74" t="str">
        <f t="shared" si="9"/>
        <v>Q3-2025</v>
      </c>
      <c r="BN2" s="74" t="str">
        <f t="shared" si="9"/>
        <v>Q4-2025</v>
      </c>
      <c r="BO2" s="1274" t="str">
        <f t="shared" si="9"/>
        <v>FY2025</v>
      </c>
      <c r="BP2" s="1273" t="str">
        <f t="shared" si="9"/>
        <v>FY2026</v>
      </c>
      <c r="BQ2" s="1273" t="str">
        <f t="shared" si="9"/>
        <v>FY2027</v>
      </c>
      <c r="BR2" s="1274" t="str">
        <f t="shared" si="9"/>
        <v>FY2028</v>
      </c>
      <c r="BS2" s="959"/>
    </row>
    <row r="3" spans="1:71" ht="15">
      <c r="A3" s="70" t="s">
        <v>431</v>
      </c>
      <c r="B3" s="70"/>
      <c r="C3" s="293"/>
      <c r="D3" s="293"/>
      <c r="E3" s="293"/>
      <c r="F3" s="293"/>
      <c r="G3" s="293"/>
      <c r="H3" s="293"/>
      <c r="I3" s="293"/>
      <c r="J3" s="293"/>
      <c r="K3" s="293"/>
      <c r="L3" s="293"/>
      <c r="M3" s="293"/>
      <c r="N3" s="293"/>
      <c r="O3" s="293"/>
      <c r="P3" s="293"/>
      <c r="Q3" s="293"/>
      <c r="R3" s="293"/>
      <c r="S3" s="293"/>
      <c r="T3" s="293"/>
      <c r="U3" s="293"/>
      <c r="V3" s="293"/>
      <c r="W3" s="293"/>
      <c r="X3" s="293"/>
      <c r="Y3" s="293"/>
      <c r="Z3" s="293"/>
      <c r="AA3" s="293"/>
      <c r="AB3" s="293"/>
      <c r="AC3" s="293"/>
      <c r="AD3" s="293"/>
      <c r="AE3" s="293"/>
      <c r="AF3" s="293"/>
      <c r="AG3" s="293"/>
      <c r="AH3" s="293"/>
      <c r="AI3" s="293"/>
      <c r="AJ3" s="293"/>
      <c r="AK3" s="293"/>
      <c r="AL3" s="293"/>
      <c r="AM3" s="293"/>
      <c r="AN3" s="293"/>
      <c r="AO3" s="293"/>
      <c r="AP3" s="293"/>
      <c r="AQ3" s="293"/>
      <c r="AR3" s="293"/>
      <c r="AS3" s="293"/>
      <c r="AT3" s="293"/>
      <c r="AU3" s="293"/>
      <c r="AV3" s="293"/>
      <c r="AW3" s="293"/>
      <c r="AX3" s="293"/>
      <c r="AY3" s="293"/>
      <c r="AZ3" s="293"/>
      <c r="BA3" s="293"/>
      <c r="BB3" s="293"/>
      <c r="BC3" s="293"/>
      <c r="BD3" s="293"/>
      <c r="BE3" s="293"/>
      <c r="BF3" s="293"/>
      <c r="BG3" s="293"/>
      <c r="BH3" s="402"/>
      <c r="BI3" s="70"/>
      <c r="BJ3" s="70"/>
      <c r="BK3" s="70"/>
      <c r="BL3" s="70"/>
      <c r="BM3" s="70"/>
      <c r="BN3" s="70"/>
      <c r="BO3" s="70"/>
      <c r="BP3" s="293"/>
      <c r="BQ3" s="293"/>
      <c r="BR3" s="70"/>
      <c r="BS3" s="79"/>
    </row>
    <row r="4" spans="1:71" s="705" customFormat="1" ht="15">
      <c r="A4" s="441" t="str">
        <f>"Stock Price - "&amp;SP.ValuationToggle</f>
        <v>Stock Price - EoP</v>
      </c>
      <c r="B4" s="221" t="s">
        <v>597</v>
      </c>
      <c r="C4" s="1275">
        <f t="shared" si="10" ref="C4:AH4">IF(INDEX(MO_SNA_IsHistoricalPeriod,1,COLUMN())=FALSE,MO.LastPrice/HP.MRFX,CHOOSE(VLOOKUP(SP.ValuationToggle,tb_ValuationToggle,COLUMNS(tb_ValuationToggle),FALSE),INDEX(MO_SPT_StockHigh,1,COLUMN()),INDEX(MO_SPT_StockLow,1,COLUMN()),INDEX(MO_SPT_StockAverage,1,COLUMN()),INDEX(MO_SPT_StockEoP,1,COLUMN()))/IF(SP.ValuationToggle="EoP",IF(INDEX(MO_SPT_FXEoP,1,COLUMN())=0,1,INDEX(MO_SPT_FXEoP,1,COLUMN())),IF(INDEX(MO_SPT_FXAverage,1,COLUMN())=0,1,INDEX(MO_SPT_FXAverage,1,COLUMN()))))</f>
        <v>25.24</v>
      </c>
      <c r="D4" s="1275">
        <f t="shared" si="10"/>
        <v>32.380000000000003</v>
      </c>
      <c r="E4" s="1275">
        <f t="shared" si="10"/>
        <v>36.89</v>
      </c>
      <c r="F4" s="1275">
        <f t="shared" si="10"/>
        <v>39.18</v>
      </c>
      <c r="G4" s="1275">
        <f t="shared" si="10"/>
        <v>57.17</v>
      </c>
      <c r="H4" s="352">
        <f t="shared" si="10"/>
        <v>57.02</v>
      </c>
      <c r="I4" s="352">
        <f t="shared" si="10"/>
        <v>59.10</v>
      </c>
      <c r="J4" s="352">
        <f t="shared" si="10"/>
        <v>58.44</v>
      </c>
      <c r="K4" s="352">
        <f t="shared" si="10"/>
        <v>61.39</v>
      </c>
      <c r="L4" s="1275">
        <f t="shared" si="10"/>
        <v>61.39</v>
      </c>
      <c r="M4" s="352">
        <f t="shared" si="10"/>
        <v>64.489999999999995</v>
      </c>
      <c r="N4" s="352">
        <f t="shared" si="10"/>
        <v>64.870000000000005</v>
      </c>
      <c r="O4" s="352">
        <f t="shared" si="10"/>
        <v>68.739999999999995</v>
      </c>
      <c r="P4" s="352">
        <f t="shared" si="10"/>
        <v>73.09</v>
      </c>
      <c r="Q4" s="1275">
        <f t="shared" si="10"/>
        <v>73.09</v>
      </c>
      <c r="R4" s="352">
        <f t="shared" si="10"/>
        <v>71.120000000000005</v>
      </c>
      <c r="S4" s="352">
        <f t="shared" si="10"/>
        <v>72.02</v>
      </c>
      <c r="T4" s="352">
        <f t="shared" si="10"/>
        <v>74.53</v>
      </c>
      <c r="U4" s="352">
        <f t="shared" si="10"/>
        <v>88.12</v>
      </c>
      <c r="V4" s="1275">
        <f t="shared" si="10"/>
        <v>88.12</v>
      </c>
      <c r="W4" s="352">
        <f t="shared" si="10"/>
        <v>95.42</v>
      </c>
      <c r="X4" s="352">
        <f t="shared" si="10"/>
        <v>99.51</v>
      </c>
      <c r="Y4" s="352">
        <f t="shared" si="10"/>
        <v>103.45</v>
      </c>
      <c r="Z4" s="352">
        <f t="shared" si="10"/>
        <v>108.54000000000001</v>
      </c>
      <c r="AA4" s="1275">
        <f t="shared" si="10"/>
        <v>108.54000000000001</v>
      </c>
      <c r="AB4" s="352">
        <f t="shared" si="10"/>
        <v>112.22</v>
      </c>
      <c r="AC4" s="352">
        <f t="shared" si="10"/>
        <v>107.33</v>
      </c>
      <c r="AD4" s="352">
        <f t="shared" si="10"/>
        <v>110.97</v>
      </c>
      <c r="AE4" s="352">
        <f t="shared" si="10"/>
        <v>89.38</v>
      </c>
      <c r="AF4" s="1275">
        <f t="shared" si="10"/>
        <v>89.38</v>
      </c>
      <c r="AG4" s="352">
        <f t="shared" si="10"/>
        <v>96.21</v>
      </c>
      <c r="AH4" s="352">
        <f t="shared" si="10"/>
        <v>102.47</v>
      </c>
      <c r="AI4" s="352">
        <f t="shared" si="11" ref="AI4:BJ4">IF(INDEX(MO_SNA_IsHistoricalPeriod,1,COLUMN())=FALSE,MO.LastPrice/HP.MRFX,CHOOSE(VLOOKUP(SP.ValuationToggle,tb_ValuationToggle,COLUMNS(tb_ValuationToggle),FALSE),INDEX(MO_SPT_StockHigh,1,COLUMN()),INDEX(MO_SPT_StockLow,1,COLUMN()),INDEX(MO_SPT_StockAverage,1,COLUMN()),INDEX(MO_SPT_StockEoP,1,COLUMN()))/IF(SP.ValuationToggle="EoP",IF(INDEX(MO_SPT_FXEoP,1,COLUMN())=0,1,INDEX(MO_SPT_FXEoP,1,COLUMN())),IF(INDEX(MO_SPT_FXAverage,1,COLUMN())=0,1,INDEX(MO_SPT_FXAverage,1,COLUMN()))))</f>
        <v>106.98999999999999</v>
      </c>
      <c r="AJ4" s="352">
        <f t="shared" si="11"/>
        <v>109.45999999999999</v>
      </c>
      <c r="AK4" s="1275">
        <f t="shared" si="11"/>
        <v>109.45999999999999</v>
      </c>
      <c r="AL4" s="352">
        <f t="shared" si="11"/>
        <v>71.56</v>
      </c>
      <c r="AM4" s="352">
        <f t="shared" si="11"/>
        <v>61.34</v>
      </c>
      <c r="AN4" s="352">
        <f t="shared" si="11"/>
        <v>66.150000000000006</v>
      </c>
      <c r="AO4" s="352">
        <f t="shared" si="11"/>
        <v>87.37</v>
      </c>
      <c r="AP4" s="1275">
        <f t="shared" si="11"/>
        <v>87.37</v>
      </c>
      <c r="AQ4" s="352">
        <f t="shared" si="11"/>
        <v>116.39</v>
      </c>
      <c r="AR4" s="352">
        <f t="shared" si="11"/>
        <v>123.33</v>
      </c>
      <c r="AS4" s="352">
        <f t="shared" si="11"/>
        <v>126.98</v>
      </c>
      <c r="AT4" s="352">
        <f t="shared" si="11"/>
        <v>136.83000000000001</v>
      </c>
      <c r="AU4" s="1276">
        <f t="shared" si="11"/>
        <v>136.83000000000001</v>
      </c>
      <c r="AV4" s="352">
        <f t="shared" si="11"/>
        <v>147.72</v>
      </c>
      <c r="AW4" s="352">
        <f t="shared" si="11"/>
        <v>135.91999999999999</v>
      </c>
      <c r="AX4" s="352">
        <f t="shared" si="11"/>
        <v>123.26000000000001</v>
      </c>
      <c r="AY4" s="352">
        <f t="shared" si="11"/>
        <v>137.28</v>
      </c>
      <c r="AZ4" s="1276">
        <f t="shared" si="11"/>
        <v>137.28</v>
      </c>
      <c r="BA4" s="352">
        <f t="shared" si="11"/>
        <v>119.72</v>
      </c>
      <c r="BB4" s="352">
        <f t="shared" si="11"/>
        <v>117.92</v>
      </c>
      <c r="BC4" s="352">
        <f>IF(INDEX(MO_SNA_IsHistoricalPeriod,1,COLUMN())=FALSE,MO.LastPrice/HP.MRFX,CHOOSE(VLOOKUP(SP.ValuationToggle,tb_ValuationToggle,COLUMNS(tb_ValuationToggle),FALSE),INDEX(MO_SPT_StockHigh,1,COLUMN()),INDEX(MO_SPT_StockLow,1,COLUMN()),INDEX(MO_SPT_StockAverage,1,COLUMN()),INDEX(MO_SPT_StockEoP,1,COLUMN()))/IF(SP.ValuationToggle="EoP",IF(INDEX(MO_SPT_FXEoP,1,COLUMN())=0,1,INDEX(MO_SPT_FXEoP,1,COLUMN())),IF(INDEX(MO_SPT_FXAverage,1,COLUMN())=0,1,INDEX(MO_SPT_FXAverage,1,COLUMN()))))</f>
        <v>111.67</v>
      </c>
      <c r="BD4" s="352">
        <f t="shared" si="11"/>
        <v>118.89</v>
      </c>
      <c r="BE4" s="1276">
        <f t="shared" si="11"/>
        <v>118.89</v>
      </c>
      <c r="BF4" s="352">
        <f t="shared" si="11"/>
        <v>136.47999999999999</v>
      </c>
      <c r="BG4" s="352">
        <f t="shared" si="11"/>
        <v>123.02</v>
      </c>
      <c r="BH4" s="904">
        <f>IF(INDEX(MO_SNA_IsHistoricalPeriod,1,COLUMN())=FALSE,MO.LastPrice/HP.MRFX,CHOOSE(VLOOKUP(SP.ValuationToggle,tb_ValuationToggle,COLUMNS(tb_ValuationToggle),FALSE),INDEX(MO_SPT_StockHigh,1,COLUMN()),INDEX(MO_SPT_StockLow,1,COLUMN()),INDEX(MO_SPT_StockAverage,1,COLUMN()),INDEX(MO_SPT_StockEoP,1,COLUMN()))/IF(SP.ValuationToggle="EoP",IF(INDEX(MO_SPT_FXEoP,1,COLUMN())=0,1,INDEX(MO_SPT_FXEoP,1,COLUMN())),IF(INDEX(MO_SPT_FXAverage,1,COLUMN())=0,1,INDEX(MO_SPT_FXAverage,1,COLUMN()))))</f>
        <v>131.31407100000001</v>
      </c>
      <c r="BI4" s="353">
        <f t="shared" ca="1" si="11"/>
        <v>142.03</v>
      </c>
      <c r="BJ4" s="1277">
        <f t="shared" ca="1" si="11"/>
        <v>142.03</v>
      </c>
      <c r="BK4" s="353">
        <f ca="1" t="shared" si="12" ref="BK4:BR4">IF(INDEX(MO_SNA_IsHistoricalPeriod,1,COLUMN())=FALSE,MO.LastPrice/HP.MRFX,CHOOSE(VLOOKUP(SP.ValuationToggle,tb_ValuationToggle,COLUMNS(tb_ValuationToggle),FALSE),INDEX(MO_SPT_StockHigh,1,COLUMN()),INDEX(MO_SPT_StockLow,1,COLUMN()),INDEX(MO_SPT_StockAverage,1,COLUMN()),INDEX(MO_SPT_StockEoP,1,COLUMN()))/IF(SP.ValuationToggle="EoP",IF(INDEX(MO_SPT_FXEoP,1,COLUMN())=0,1,INDEX(MO_SPT_FXEoP,1,COLUMN())),IF(INDEX(MO_SPT_FXAverage,1,COLUMN())=0,1,INDEX(MO_SPT_FXAverage,1,COLUMN()))))</f>
        <v>142.03</v>
      </c>
      <c r="BL4" s="353">
        <f t="shared" ca="1" si="12"/>
        <v>142.03</v>
      </c>
      <c r="BM4" s="353">
        <f t="shared" ca="1" si="12"/>
        <v>142.03</v>
      </c>
      <c r="BN4" s="353">
        <f t="shared" ca="1" si="12"/>
        <v>142.03</v>
      </c>
      <c r="BO4" s="1277">
        <f t="shared" ca="1" si="12"/>
        <v>142.03</v>
      </c>
      <c r="BP4" s="1276">
        <f t="shared" ca="1" si="12"/>
        <v>142.03</v>
      </c>
      <c r="BQ4" s="1276">
        <f t="shared" ca="1" si="12"/>
        <v>142.03</v>
      </c>
      <c r="BR4" s="1277">
        <f t="shared" ca="1" si="12"/>
        <v>142.03</v>
      </c>
      <c r="BS4" s="246"/>
    </row>
    <row r="5" spans="1:71" s="705" customFormat="1" ht="15">
      <c r="A5" s="802" t="str">
        <f>INDEX(MO_SCA_ShareCount_EoP_Diluted,0,COLUMN())</f>
        <v>EoP Total Diluted Common Stock Outstanding, mm shares</v>
      </c>
      <c r="B5" s="803"/>
      <c r="C5" s="1278">
        <f t="shared" si="13" ref="C5:AH5">INDEX(MO_SCA_ShareCount_EoP_Diluted,0,COLUMN())</f>
        <v>114.48634299999999</v>
      </c>
      <c r="D5" s="1278">
        <f t="shared" si="13"/>
        <v>106.468366</v>
      </c>
      <c r="E5" s="1278">
        <f t="shared" si="13"/>
        <v>99.446402000000006</v>
      </c>
      <c r="F5" s="1278">
        <f t="shared" si="13"/>
        <v>90.679303000000004</v>
      </c>
      <c r="G5" s="1278">
        <f t="shared" si="13"/>
        <v>91.413386000000003</v>
      </c>
      <c r="H5" s="1006">
        <f t="shared" si="13"/>
        <v>91.588999000000001</v>
      </c>
      <c r="I5" s="1006">
        <f t="shared" si="13"/>
        <v>91.618433999999993</v>
      </c>
      <c r="J5" s="1006">
        <f t="shared" si="13"/>
        <v>90.390967000000003</v>
      </c>
      <c r="K5" s="1006">
        <f t="shared" si="13"/>
        <v>89.180793000000008</v>
      </c>
      <c r="L5" s="1278">
        <f t="shared" si="13"/>
        <v>89.180793000000008</v>
      </c>
      <c r="M5" s="1006">
        <f t="shared" si="13"/>
        <v>89.685715000000016</v>
      </c>
      <c r="N5" s="1006">
        <f t="shared" si="13"/>
        <v>89.340412000000001</v>
      </c>
      <c r="O5" s="1006">
        <f t="shared" si="13"/>
        <v>89.127172000000002</v>
      </c>
      <c r="P5" s="1006">
        <f t="shared" si="13"/>
        <v>89.502451999999991</v>
      </c>
      <c r="Q5" s="1278">
        <f t="shared" si="13"/>
        <v>89.502451999999991</v>
      </c>
      <c r="R5" s="1006">
        <f t="shared" si="13"/>
        <v>88.566289999999995</v>
      </c>
      <c r="S5" s="1006">
        <f t="shared" si="13"/>
        <v>88.450459000000009</v>
      </c>
      <c r="T5" s="1006">
        <f t="shared" si="13"/>
        <v>88.412650999999997</v>
      </c>
      <c r="U5" s="1006">
        <f t="shared" si="13"/>
        <v>88.648398999999984</v>
      </c>
      <c r="V5" s="1278">
        <f t="shared" si="13"/>
        <v>88.648398999999984</v>
      </c>
      <c r="W5" s="1006">
        <f t="shared" si="13"/>
        <v>89.691670999999999</v>
      </c>
      <c r="X5" s="1006">
        <f t="shared" si="13"/>
        <v>90.007251999999994</v>
      </c>
      <c r="Y5" s="1006">
        <f t="shared" si="13"/>
        <v>89.992794000000004</v>
      </c>
      <c r="Z5" s="1006">
        <f t="shared" si="13"/>
        <v>90.175459999999987</v>
      </c>
      <c r="AA5" s="1278">
        <f t="shared" si="13"/>
        <v>90.175459999999987</v>
      </c>
      <c r="AB5" s="1006">
        <f t="shared" si="13"/>
        <v>90.681213000000014</v>
      </c>
      <c r="AC5" s="1006">
        <f t="shared" si="13"/>
        <v>90.772114000000002</v>
      </c>
      <c r="AD5" s="1006">
        <f t="shared" si="13"/>
        <v>90.819708000000006</v>
      </c>
      <c r="AE5" s="1006">
        <f t="shared" si="13"/>
        <v>90.922724000000002</v>
      </c>
      <c r="AF5" s="1278">
        <f t="shared" si="13"/>
        <v>90.922724000000002</v>
      </c>
      <c r="AG5" s="1006">
        <f t="shared" si="13"/>
        <v>90.937713000000002</v>
      </c>
      <c r="AH5" s="1006">
        <f t="shared" si="13"/>
        <v>91.217601000000002</v>
      </c>
      <c r="AI5" s="1006">
        <f t="shared" si="14" ref="AI5:BJ5">INDEX(MO_SCA_ShareCount_EoP_Diluted,0,COLUMN())</f>
        <v>91.227422999999987</v>
      </c>
      <c r="AJ5" s="1006">
        <f t="shared" si="14"/>
        <v>91.403685999999993</v>
      </c>
      <c r="AK5" s="1278">
        <f t="shared" si="14"/>
        <v>91.403685999999993</v>
      </c>
      <c r="AL5" s="1006">
        <f t="shared" si="14"/>
        <v>90.927335999999997</v>
      </c>
      <c r="AM5" s="1006">
        <f t="shared" si="14"/>
        <v>88.959406999999999</v>
      </c>
      <c r="AN5" s="1006">
        <f t="shared" si="14"/>
        <v>87.566581999999997</v>
      </c>
      <c r="AO5" s="1006">
        <f t="shared" si="14"/>
        <v>86.945246000000012</v>
      </c>
      <c r="AP5" s="1278">
        <f t="shared" si="14"/>
        <v>86.945246000000012</v>
      </c>
      <c r="AQ5" s="1006">
        <f t="shared" si="14"/>
        <v>85.826061999999993</v>
      </c>
      <c r="AR5" s="1006">
        <f t="shared" si="14"/>
        <v>85.331999999999994</v>
      </c>
      <c r="AS5" s="1006">
        <f t="shared" si="14"/>
        <v>85.195</v>
      </c>
      <c r="AT5" s="1006">
        <f t="shared" si="14"/>
        <v>85.421000000000035</v>
      </c>
      <c r="AU5" s="1279">
        <f t="shared" si="14"/>
        <v>85.421000000000035</v>
      </c>
      <c r="AV5" s="1006">
        <f t="shared" si="14"/>
        <v>85.302829000000003</v>
      </c>
      <c r="AW5" s="1006">
        <f t="shared" si="14"/>
        <v>85.354263000000003</v>
      </c>
      <c r="AX5" s="1006">
        <f t="shared" si="14"/>
        <v>85.34052100000001</v>
      </c>
      <c r="AY5" s="1006">
        <f t="shared" si="14"/>
        <v>85.40000000000002</v>
      </c>
      <c r="AZ5" s="1279">
        <f t="shared" si="14"/>
        <v>85.404006000000024</v>
      </c>
      <c r="BA5" s="1006">
        <f t="shared" si="14"/>
        <v>85.35</v>
      </c>
      <c r="BB5" s="1006">
        <f t="shared" si="14"/>
        <v>84.959000000000003</v>
      </c>
      <c r="BC5" s="1006">
        <f>INDEX(MO_SCA_ShareCount_EoP_Diluted,0,COLUMN())</f>
        <v>84.235710000000012</v>
      </c>
      <c r="BD5" s="1006">
        <f t="shared" si="14"/>
        <v>83.535806999999963</v>
      </c>
      <c r="BE5" s="1279">
        <f t="shared" si="14"/>
        <v>83.535806999999963</v>
      </c>
      <c r="BF5" s="1006">
        <f t="shared" si="14"/>
        <v>83.957353999999995</v>
      </c>
      <c r="BG5" s="1006">
        <f t="shared" si="14"/>
        <v>83.897266999999999</v>
      </c>
      <c r="BH5" s="1008">
        <f>INDEX(MO_SCA_ShareCount_EoP_Diluted,0,COLUMN())</f>
        <v>83.923445999999998</v>
      </c>
      <c r="BI5" s="1006">
        <f t="shared" ca="1" si="14"/>
        <v>84.007369445999984</v>
      </c>
      <c r="BJ5" s="1279">
        <f t="shared" ca="1" si="14"/>
        <v>84.007369445999984</v>
      </c>
      <c r="BK5" s="1006">
        <f ca="1" t="shared" si="15" ref="BK5:BR5">INDEX(MO_SCA_ShareCount_EoP_Diluted,0,COLUMN())</f>
        <v>84.007369445999984</v>
      </c>
      <c r="BL5" s="1006">
        <f t="shared" ca="1" si="15"/>
        <v>84.007369445999984</v>
      </c>
      <c r="BM5" s="1006">
        <f t="shared" ca="1" si="15"/>
        <v>84.007369445999984</v>
      </c>
      <c r="BN5" s="1006">
        <f t="shared" ca="1" si="15"/>
        <v>84.007369445999984</v>
      </c>
      <c r="BO5" s="1279">
        <f t="shared" ca="1" si="15"/>
        <v>84.007369445999984</v>
      </c>
      <c r="BP5" s="1279">
        <f t="shared" ca="1" si="15"/>
        <v>84.007369445999984</v>
      </c>
      <c r="BQ5" s="1279">
        <f t="shared" ca="1" si="15"/>
        <v>84.007369445999984</v>
      </c>
      <c r="BR5" s="1279">
        <f t="shared" ca="1" si="15"/>
        <v>84.007369445999984</v>
      </c>
      <c r="BS5" s="246"/>
    </row>
    <row r="6" spans="1:71" s="706" customFormat="1" ht="15">
      <c r="A6" s="201" t="str">
        <f>"Market Cap - "&amp;SP.ValuationToggle</f>
        <v>Market Cap - EoP</v>
      </c>
      <c r="B6" s="202"/>
      <c r="C6" s="1280">
        <f t="shared" si="16" ref="C6:AH6">INDEX(SP_CS_StockPrice,0,COLUMN())*INDEX(SP_CS_ShareCount_EoP_Diluted,0,COLUMN())</f>
        <v>2889.6352973199996</v>
      </c>
      <c r="D6" s="1280">
        <f t="shared" si="16"/>
        <v>3447.4456910800004</v>
      </c>
      <c r="E6" s="1280">
        <f t="shared" si="16"/>
        <v>3668.5777697800004</v>
      </c>
      <c r="F6" s="1280">
        <f t="shared" si="16"/>
        <v>3552.8150915400001</v>
      </c>
      <c r="G6" s="1280">
        <f t="shared" si="16"/>
        <v>5226.10327762</v>
      </c>
      <c r="H6" s="1010">
        <f t="shared" si="16"/>
        <v>5222.4047229800008</v>
      </c>
      <c r="I6" s="1010">
        <f t="shared" si="16"/>
        <v>5414.6494493999999</v>
      </c>
      <c r="J6" s="1010">
        <f t="shared" si="16"/>
        <v>5282.4481114800001</v>
      </c>
      <c r="K6" s="1010">
        <f t="shared" si="16"/>
        <v>5474.8088822700001</v>
      </c>
      <c r="L6" s="1280">
        <f t="shared" si="16"/>
        <v>5474.8088822700001</v>
      </c>
      <c r="M6" s="1010">
        <f t="shared" si="16"/>
        <v>5783.8317603500009</v>
      </c>
      <c r="N6" s="1010">
        <f t="shared" si="16"/>
        <v>5795.5125264400003</v>
      </c>
      <c r="O6" s="1010">
        <f t="shared" si="16"/>
        <v>6126.6018032799993</v>
      </c>
      <c r="P6" s="1010">
        <f t="shared" si="16"/>
        <v>6541.7342166799999</v>
      </c>
      <c r="Q6" s="1280">
        <f t="shared" si="16"/>
        <v>6541.7342166799999</v>
      </c>
      <c r="R6" s="1010">
        <f t="shared" si="16"/>
        <v>6298.8345448</v>
      </c>
      <c r="S6" s="1010">
        <f t="shared" si="16"/>
        <v>6370.2020571800003</v>
      </c>
      <c r="T6" s="1010">
        <f t="shared" si="16"/>
        <v>6589.3948790300001</v>
      </c>
      <c r="U6" s="1010">
        <f t="shared" si="16"/>
        <v>7811.6969198799989</v>
      </c>
      <c r="V6" s="1280">
        <f t="shared" si="16"/>
        <v>7811.6969198799989</v>
      </c>
      <c r="W6" s="1010">
        <f t="shared" si="16"/>
        <v>8558.3792468200008</v>
      </c>
      <c r="X6" s="1010">
        <f t="shared" si="16"/>
        <v>8956.6216465199996</v>
      </c>
      <c r="Y6" s="1010">
        <f t="shared" si="16"/>
        <v>9309.7545393</v>
      </c>
      <c r="Z6" s="1010">
        <f t="shared" si="16"/>
        <v>9787.644428399999</v>
      </c>
      <c r="AA6" s="1280">
        <f t="shared" si="16"/>
        <v>9787.644428399999</v>
      </c>
      <c r="AB6" s="1010">
        <f t="shared" si="16"/>
        <v>10176.245722860001</v>
      </c>
      <c r="AC6" s="1010">
        <f t="shared" si="16"/>
        <v>9742.5709956200008</v>
      </c>
      <c r="AD6" s="1010">
        <f t="shared" si="16"/>
        <v>10078.262996760001</v>
      </c>
      <c r="AE6" s="1010">
        <f t="shared" si="16"/>
        <v>8126.6730711199998</v>
      </c>
      <c r="AF6" s="1280">
        <f t="shared" si="16"/>
        <v>8126.6730711199998</v>
      </c>
      <c r="AG6" s="1010">
        <f t="shared" si="16"/>
        <v>8749.1173677299994</v>
      </c>
      <c r="AH6" s="1010">
        <f t="shared" si="16"/>
        <v>9347.0675744700002</v>
      </c>
      <c r="AI6" s="1010">
        <f t="shared" si="17" ref="AI6:BJ6">INDEX(SP_CS_StockPrice,0,COLUMN())*INDEX(SP_CS_ShareCount_EoP_Diluted,0,COLUMN())</f>
        <v>9760.4219867699976</v>
      </c>
      <c r="AJ6" s="1010">
        <f t="shared" si="17"/>
        <v>10005.047469559999</v>
      </c>
      <c r="AK6" s="1280">
        <f t="shared" si="17"/>
        <v>10005.047469559999</v>
      </c>
      <c r="AL6" s="1010">
        <f t="shared" si="17"/>
        <v>6506.7601641600004</v>
      </c>
      <c r="AM6" s="1010">
        <f t="shared" si="17"/>
        <v>5456.7700253800003</v>
      </c>
      <c r="AN6" s="1010">
        <f t="shared" si="17"/>
        <v>5792.5293993000005</v>
      </c>
      <c r="AO6" s="1010">
        <f t="shared" si="17"/>
        <v>7596.4061430200018</v>
      </c>
      <c r="AP6" s="1280">
        <f t="shared" si="17"/>
        <v>7596.4061430200018</v>
      </c>
      <c r="AQ6" s="1010">
        <f t="shared" si="17"/>
        <v>9989.2953561799986</v>
      </c>
      <c r="AR6" s="1010">
        <f t="shared" si="17"/>
        <v>10523.995559999999</v>
      </c>
      <c r="AS6" s="1010">
        <f t="shared" si="17"/>
        <v>10818.061100000001</v>
      </c>
      <c r="AT6" s="1010">
        <f t="shared" si="17"/>
        <v>11688.155430000006</v>
      </c>
      <c r="AU6" s="1280">
        <f t="shared" si="17"/>
        <v>11688.155430000006</v>
      </c>
      <c r="AV6" s="1010">
        <f t="shared" si="17"/>
        <v>12600.933899879999</v>
      </c>
      <c r="AW6" s="1010">
        <f t="shared" si="17"/>
        <v>11601.35142696</v>
      </c>
      <c r="AX6" s="1010">
        <f t="shared" si="17"/>
        <v>10519.072618460001</v>
      </c>
      <c r="AY6" s="1010">
        <f t="shared" si="17"/>
        <v>11723.712000000003</v>
      </c>
      <c r="AZ6" s="1280">
        <f t="shared" si="17"/>
        <v>11724.261943680003</v>
      </c>
      <c r="BA6" s="1010">
        <f t="shared" si="17"/>
        <v>10218.101999999999</v>
      </c>
      <c r="BB6" s="1010">
        <f t="shared" si="17"/>
        <v>10018.36528</v>
      </c>
      <c r="BC6" s="1010">
        <f>INDEX(SP_CS_StockPrice,0,COLUMN())*INDEX(SP_CS_ShareCount_EoP_Diluted,0,COLUMN())</f>
        <v>9406.6017357000019</v>
      </c>
      <c r="BD6" s="1010">
        <f t="shared" si="17"/>
        <v>9931.5720942299959</v>
      </c>
      <c r="BE6" s="1280">
        <f t="shared" si="17"/>
        <v>9931.5720942299959</v>
      </c>
      <c r="BF6" s="1010">
        <f t="shared" si="17"/>
        <v>11458.499673919998</v>
      </c>
      <c r="BG6" s="1010">
        <f t="shared" si="17"/>
        <v>10321.04178634</v>
      </c>
      <c r="BH6" s="1011">
        <f>INDEX(SP_CS_StockPrice,0,COLUMN())*INDEX(SP_CS_ShareCount_EoP_Diluted,0,COLUMN())</f>
        <v>11020.329346608667</v>
      </c>
      <c r="BI6" s="1010">
        <f t="shared" ca="1" si="17"/>
        <v>11931.566682415378</v>
      </c>
      <c r="BJ6" s="1280">
        <f t="shared" ca="1" si="17"/>
        <v>11931.566682415378</v>
      </c>
      <c r="BK6" s="1010">
        <f ca="1" t="shared" si="18" ref="BK6:BR6">INDEX(SP_CS_StockPrice,0,COLUMN())*INDEX(SP_CS_ShareCount_EoP_Diluted,0,COLUMN())</f>
        <v>11931.566682415378</v>
      </c>
      <c r="BL6" s="1010">
        <f t="shared" ca="1" si="18"/>
        <v>11931.566682415378</v>
      </c>
      <c r="BM6" s="1010">
        <f t="shared" ca="1" si="18"/>
        <v>11931.566682415378</v>
      </c>
      <c r="BN6" s="1010">
        <f t="shared" ca="1" si="18"/>
        <v>11931.566682415378</v>
      </c>
      <c r="BO6" s="1280">
        <f t="shared" ca="1" si="18"/>
        <v>11931.566682415378</v>
      </c>
      <c r="BP6" s="1280">
        <f t="shared" ca="1" si="18"/>
        <v>11931.566682415378</v>
      </c>
      <c r="BQ6" s="1280">
        <f t="shared" ca="1" si="18"/>
        <v>11931.566682415378</v>
      </c>
      <c r="BR6" s="1280">
        <f t="shared" ca="1" si="18"/>
        <v>11931.566682415378</v>
      </c>
      <c r="BS6" s="960"/>
    </row>
    <row r="7" spans="1:71" s="707" customFormat="1" ht="15">
      <c r="A7" s="203"/>
      <c r="B7" s="204"/>
      <c r="C7" s="1281"/>
      <c r="D7" s="1281"/>
      <c r="E7" s="1281"/>
      <c r="F7" s="1281"/>
      <c r="G7" s="1281"/>
      <c r="H7" s="335"/>
      <c r="I7" s="335"/>
      <c r="J7" s="335"/>
      <c r="K7" s="335"/>
      <c r="L7" s="1281"/>
      <c r="M7" s="335"/>
      <c r="N7" s="335"/>
      <c r="O7" s="335"/>
      <c r="P7" s="335"/>
      <c r="Q7" s="1281"/>
      <c r="R7" s="335"/>
      <c r="S7" s="335"/>
      <c r="T7" s="335"/>
      <c r="U7" s="335"/>
      <c r="V7" s="1281"/>
      <c r="W7" s="335"/>
      <c r="X7" s="335"/>
      <c r="Y7" s="335"/>
      <c r="Z7" s="335"/>
      <c r="AA7" s="1281"/>
      <c r="AB7" s="335"/>
      <c r="AC7" s="335"/>
      <c r="AD7" s="335"/>
      <c r="AE7" s="335"/>
      <c r="AF7" s="1281"/>
      <c r="AG7" s="335"/>
      <c r="AH7" s="335"/>
      <c r="AI7" s="335"/>
      <c r="AJ7" s="335"/>
      <c r="AK7" s="1281"/>
      <c r="AL7" s="335"/>
      <c r="AM7" s="335"/>
      <c r="AN7" s="335"/>
      <c r="AO7" s="335"/>
      <c r="AP7" s="1281"/>
      <c r="AQ7" s="335"/>
      <c r="AR7" s="335"/>
      <c r="AS7" s="335"/>
      <c r="AT7" s="335"/>
      <c r="AU7" s="1281"/>
      <c r="AV7" s="335"/>
      <c r="AW7" s="335"/>
      <c r="AX7" s="335"/>
      <c r="AY7" s="335"/>
      <c r="AZ7" s="1281"/>
      <c r="BA7" s="335"/>
      <c r="BB7" s="335"/>
      <c r="BC7" s="335"/>
      <c r="BD7" s="335"/>
      <c r="BE7" s="1281"/>
      <c r="BF7" s="335"/>
      <c r="BG7" s="335"/>
      <c r="BH7" s="905"/>
      <c r="BI7" s="77"/>
      <c r="BJ7" s="1282"/>
      <c r="BK7" s="77"/>
      <c r="BL7" s="77"/>
      <c r="BM7" s="77"/>
      <c r="BN7" s="77"/>
      <c r="BO7" s="1282"/>
      <c r="BP7" s="1281"/>
      <c r="BQ7" s="1281"/>
      <c r="BR7" s="1282"/>
      <c r="BS7" s="77"/>
    </row>
    <row r="8" spans="1:71" ht="15">
      <c r="A8" s="70" t="s">
        <v>432</v>
      </c>
      <c r="B8" s="958"/>
      <c r="C8" s="1012"/>
      <c r="D8" s="1012"/>
      <c r="E8" s="1012"/>
      <c r="F8" s="1012"/>
      <c r="G8" s="1012"/>
      <c r="H8" s="1012"/>
      <c r="I8" s="1012"/>
      <c r="J8" s="1012"/>
      <c r="K8" s="1012"/>
      <c r="L8" s="1012"/>
      <c r="M8" s="1012"/>
      <c r="N8" s="1012"/>
      <c r="O8" s="1012"/>
      <c r="P8" s="1012"/>
      <c r="Q8" s="1012"/>
      <c r="R8" s="1012"/>
      <c r="S8" s="1012"/>
      <c r="T8" s="1012"/>
      <c r="U8" s="1012"/>
      <c r="V8" s="1012"/>
      <c r="W8" s="1012"/>
      <c r="X8" s="1012"/>
      <c r="Y8" s="1012"/>
      <c r="Z8" s="1012"/>
      <c r="AA8" s="1012"/>
      <c r="AB8" s="1012"/>
      <c r="AC8" s="1012"/>
      <c r="AD8" s="1012"/>
      <c r="AE8" s="1012"/>
      <c r="AF8" s="1012"/>
      <c r="AG8" s="1012"/>
      <c r="AH8" s="1012"/>
      <c r="AI8" s="1012"/>
      <c r="AJ8" s="1012"/>
      <c r="AK8" s="1012"/>
      <c r="AL8" s="1012"/>
      <c r="AM8" s="1012"/>
      <c r="AN8" s="1012"/>
      <c r="AO8" s="1012"/>
      <c r="AP8" s="1012"/>
      <c r="AQ8" s="1012"/>
      <c r="AR8" s="1012"/>
      <c r="AS8" s="1012"/>
      <c r="AT8" s="1012"/>
      <c r="AU8" s="1012"/>
      <c r="AV8" s="1012"/>
      <c r="AW8" s="1012"/>
      <c r="AX8" s="1012"/>
      <c r="AY8" s="1012"/>
      <c r="AZ8" s="1012"/>
      <c r="BA8" s="1012"/>
      <c r="BB8" s="1012"/>
      <c r="BC8" s="1012"/>
      <c r="BD8" s="1012"/>
      <c r="BE8" s="1012"/>
      <c r="BF8" s="1012"/>
      <c r="BG8" s="1012"/>
      <c r="BH8" s="1013"/>
      <c r="BI8" s="1014"/>
      <c r="BJ8" s="1014"/>
      <c r="BK8" s="1014"/>
      <c r="BL8" s="1014"/>
      <c r="BM8" s="1014"/>
      <c r="BN8" s="1014"/>
      <c r="BO8" s="1014"/>
      <c r="BP8" s="1012"/>
      <c r="BQ8" s="1012"/>
      <c r="BR8" s="1014"/>
      <c r="BS8" s="960"/>
    </row>
    <row r="9" spans="1:71" s="707" customFormat="1" ht="15">
      <c r="A9" s="203" t="str">
        <f>INDEX(MO_UI_NWP,0,COLUMN())</f>
        <v>Total Net Written Premiums, mm</v>
      </c>
      <c r="B9" s="204"/>
      <c r="C9" s="1281">
        <f t="shared" si="19" ref="C9:AU9">ROUND(INDEX(MO_UI_NWP,0,COLUMN()),6)</f>
        <v>0</v>
      </c>
      <c r="D9" s="1281">
        <f t="shared" si="19"/>
        <v>0</v>
      </c>
      <c r="E9" s="1281">
        <f t="shared" si="19"/>
        <v>2770</v>
      </c>
      <c r="F9" s="1281">
        <f t="shared" si="19"/>
        <v>2949</v>
      </c>
      <c r="G9" s="1281">
        <f t="shared" si="19"/>
        <v>3341</v>
      </c>
      <c r="H9" s="335">
        <f t="shared" si="19"/>
        <v>755</v>
      </c>
      <c r="I9" s="335">
        <f t="shared" si="19"/>
        <v>998</v>
      </c>
      <c r="J9" s="335">
        <f t="shared" si="19"/>
        <v>1242</v>
      </c>
      <c r="K9" s="335">
        <f t="shared" si="19"/>
        <v>1025</v>
      </c>
      <c r="L9" s="1281">
        <f t="shared" si="19"/>
        <v>4020</v>
      </c>
      <c r="M9" s="335">
        <f t="shared" si="19"/>
        <v>926</v>
      </c>
      <c r="N9" s="335">
        <f t="shared" si="19"/>
        <v>1026</v>
      </c>
      <c r="O9" s="335">
        <f t="shared" si="19"/>
        <v>1319</v>
      </c>
      <c r="P9" s="335">
        <f t="shared" si="19"/>
        <v>1056</v>
      </c>
      <c r="Q9" s="1281">
        <f t="shared" si="19"/>
        <v>4327</v>
      </c>
      <c r="R9" s="335">
        <f t="shared" si="19"/>
        <v>979</v>
      </c>
      <c r="S9" s="335">
        <f t="shared" si="19"/>
        <v>1056</v>
      </c>
      <c r="T9" s="335">
        <f t="shared" si="19"/>
        <v>1268</v>
      </c>
      <c r="U9" s="335">
        <f t="shared" si="19"/>
        <v>1083</v>
      </c>
      <c r="V9" s="1281">
        <f t="shared" si="19"/>
        <v>4386</v>
      </c>
      <c r="W9" s="335">
        <f t="shared" si="19"/>
        <v>1027</v>
      </c>
      <c r="X9" s="335">
        <f t="shared" si="19"/>
        <v>1130</v>
      </c>
      <c r="Y9" s="335">
        <f t="shared" si="19"/>
        <v>1433</v>
      </c>
      <c r="Z9" s="335">
        <f t="shared" si="19"/>
        <v>1161</v>
      </c>
      <c r="AA9" s="1281">
        <f t="shared" si="19"/>
        <v>4751</v>
      </c>
      <c r="AB9" s="335">
        <f t="shared" si="19"/>
        <v>1102</v>
      </c>
      <c r="AC9" s="335">
        <f t="shared" si="19"/>
        <v>1257</v>
      </c>
      <c r="AD9" s="335">
        <f t="shared" si="19"/>
        <v>1456</v>
      </c>
      <c r="AE9" s="335">
        <f t="shared" si="19"/>
        <v>1208</v>
      </c>
      <c r="AF9" s="1281">
        <f t="shared" si="19"/>
        <v>5023</v>
      </c>
      <c r="AG9" s="335">
        <f t="shared" si="19"/>
        <v>1147</v>
      </c>
      <c r="AH9" s="335">
        <f t="shared" si="19"/>
        <v>1264</v>
      </c>
      <c r="AI9" s="335">
        <f t="shared" si="19"/>
        <v>1618</v>
      </c>
      <c r="AJ9" s="335">
        <f t="shared" si="19"/>
        <v>1313</v>
      </c>
      <c r="AK9" s="1281">
        <f t="shared" si="19"/>
        <v>5342</v>
      </c>
      <c r="AL9" s="335">
        <f t="shared" si="20" ref="AL9:AQ9">ROUND(INDEX(MO_UI_NWP,0,COLUMN()),6)</f>
        <v>1164</v>
      </c>
      <c r="AM9" s="335">
        <f t="shared" si="20"/>
        <v>1131</v>
      </c>
      <c r="AN9" s="335">
        <f t="shared" si="20"/>
        <v>1489</v>
      </c>
      <c r="AO9" s="335">
        <f t="shared" si="20"/>
        <v>1229</v>
      </c>
      <c r="AP9" s="1281">
        <f t="shared" si="20"/>
        <v>5013</v>
      </c>
      <c r="AQ9" s="335">
        <f t="shared" si="20"/>
        <v>1205</v>
      </c>
      <c r="AR9" s="335">
        <f t="shared" si="19"/>
        <v>1369</v>
      </c>
      <c r="AS9" s="335">
        <f t="shared" si="19"/>
        <v>1729</v>
      </c>
      <c r="AT9" s="335">
        <f t="shared" si="19"/>
        <v>1270</v>
      </c>
      <c r="AU9" s="1281">
        <f t="shared" si="19"/>
        <v>5573</v>
      </c>
      <c r="AV9" s="335">
        <f t="shared" si="21" ref="AV9:BE9">ROUND(INDEX(MO_UI_NWP,0,COLUMN()),6)</f>
        <v>1368</v>
      </c>
      <c r="AW9" s="335">
        <f t="shared" si="21"/>
        <v>1516</v>
      </c>
      <c r="AX9" s="335">
        <f t="shared" si="21"/>
        <v>1984</v>
      </c>
      <c r="AY9" s="335">
        <f t="shared" si="21"/>
        <v>1338</v>
      </c>
      <c r="AZ9" s="1281">
        <f t="shared" si="21"/>
        <v>6206</v>
      </c>
      <c r="BA9" s="335">
        <f t="shared" si="21"/>
        <v>1519</v>
      </c>
      <c r="BB9" s="335">
        <f t="shared" si="21"/>
        <v>1667</v>
      </c>
      <c r="BC9" s="335">
        <f>ROUND(INDEX(MO_UI_NWP,0,COLUMN()),6)</f>
        <v>2061</v>
      </c>
      <c r="BD9" s="335">
        <f t="shared" si="21"/>
        <v>1445</v>
      </c>
      <c r="BE9" s="1281">
        <f t="shared" si="21"/>
        <v>6692</v>
      </c>
      <c r="BF9" s="335">
        <f t="shared" si="22" ref="BF9:BJ9">ROUND(INDEX(MO_UI_NWP,0,COLUMN()),6)</f>
        <v>1634</v>
      </c>
      <c r="BG9" s="335">
        <f t="shared" si="22"/>
        <v>1692</v>
      </c>
      <c r="BH9" s="905">
        <f>ROUND(INDEX(MO_UI_NWP,0,COLUMN()),6)</f>
        <v>2353</v>
      </c>
      <c r="BI9" s="77">
        <f t="shared" si="22"/>
        <v>1603.712</v>
      </c>
      <c r="BJ9" s="1282">
        <f t="shared" si="22"/>
        <v>7282.7120000000004</v>
      </c>
      <c r="BK9" s="77">
        <f t="shared" si="23" ref="BK9:BR9">ROUND(INDEX(MO_UI_NWP,0,COLUMN()),6)</f>
        <v>1777.6704999999999</v>
      </c>
      <c r="BL9" s="77">
        <f t="shared" si="23"/>
        <v>1809.535</v>
      </c>
      <c r="BM9" s="77">
        <f t="shared" si="23"/>
        <v>1989.1044999999999</v>
      </c>
      <c r="BN9" s="77">
        <f t="shared" si="23"/>
        <v>1801.87456</v>
      </c>
      <c r="BO9" s="1282">
        <f t="shared" si="23"/>
        <v>7378.1845599999997</v>
      </c>
      <c r="BP9" s="1281">
        <f t="shared" si="23"/>
        <v>8309.8369230000008</v>
      </c>
      <c r="BQ9" s="1281">
        <f t="shared" si="23"/>
        <v>10844.80615</v>
      </c>
      <c r="BR9" s="1282">
        <f t="shared" si="23"/>
        <v>11405.720423999999</v>
      </c>
      <c r="BS9" s="77"/>
    </row>
    <row r="10" spans="1:71" s="707" customFormat="1" ht="15">
      <c r="A10" s="203" t="str">
        <f>INDEX(MO_UI_NEP,0,COLUMN())</f>
        <v>Total Net Earned Premiums, mm</v>
      </c>
      <c r="B10" s="204"/>
      <c r="C10" s="1281">
        <f t="shared" si="24" ref="C10:AU10">ROUND(INDEX(MO_UI_NEP,0,COLUMN()),6)</f>
        <v>2412</v>
      </c>
      <c r="D10" s="1281">
        <f t="shared" si="24"/>
        <v>2550</v>
      </c>
      <c r="E10" s="1281">
        <f t="shared" si="24"/>
        <v>2759</v>
      </c>
      <c r="F10" s="1281">
        <f t="shared" si="24"/>
        <v>2847</v>
      </c>
      <c r="G10" s="1281">
        <f t="shared" si="24"/>
        <v>3204</v>
      </c>
      <c r="H10" s="335">
        <f t="shared" si="24"/>
        <v>754</v>
      </c>
      <c r="I10" s="335">
        <f t="shared" si="24"/>
        <v>931</v>
      </c>
      <c r="J10" s="335">
        <f t="shared" si="24"/>
        <v>1132</v>
      </c>
      <c r="K10" s="335">
        <f t="shared" si="24"/>
        <v>1061</v>
      </c>
      <c r="L10" s="1281">
        <f t="shared" si="24"/>
        <v>3878</v>
      </c>
      <c r="M10" s="335">
        <f t="shared" si="24"/>
        <v>946</v>
      </c>
      <c r="N10" s="335">
        <f t="shared" si="24"/>
        <v>985</v>
      </c>
      <c r="O10" s="335">
        <f t="shared" si="24"/>
        <v>1173</v>
      </c>
      <c r="P10" s="335">
        <f t="shared" si="24"/>
        <v>1120</v>
      </c>
      <c r="Q10" s="1281">
        <f t="shared" si="24"/>
        <v>4224</v>
      </c>
      <c r="R10" s="335">
        <f t="shared" si="24"/>
        <v>998</v>
      </c>
      <c r="S10" s="335">
        <f t="shared" si="24"/>
        <v>1027</v>
      </c>
      <c r="T10" s="335">
        <f t="shared" si="24"/>
        <v>1159</v>
      </c>
      <c r="U10" s="335">
        <f t="shared" si="24"/>
        <v>1144</v>
      </c>
      <c r="V10" s="1281">
        <f t="shared" si="24"/>
        <v>4328</v>
      </c>
      <c r="W10" s="335">
        <f t="shared" si="24"/>
        <v>1022</v>
      </c>
      <c r="X10" s="335">
        <f t="shared" si="24"/>
        <v>1065</v>
      </c>
      <c r="Y10" s="335">
        <f t="shared" si="24"/>
        <v>1267</v>
      </c>
      <c r="Z10" s="335">
        <f t="shared" si="24"/>
        <v>1225</v>
      </c>
      <c r="AA10" s="1281">
        <f t="shared" si="24"/>
        <v>4579</v>
      </c>
      <c r="AB10" s="335">
        <f t="shared" si="24"/>
        <v>1107</v>
      </c>
      <c r="AC10" s="335">
        <f t="shared" si="24"/>
        <v>1161</v>
      </c>
      <c r="AD10" s="335">
        <f t="shared" si="24"/>
        <v>1327</v>
      </c>
      <c r="AE10" s="335">
        <f t="shared" si="24"/>
        <v>1270</v>
      </c>
      <c r="AF10" s="1281">
        <f t="shared" si="24"/>
        <v>4865</v>
      </c>
      <c r="AG10" s="335">
        <f t="shared" si="24"/>
        <v>1173</v>
      </c>
      <c r="AH10" s="335">
        <f t="shared" si="24"/>
        <v>1200</v>
      </c>
      <c r="AI10" s="335">
        <f t="shared" si="24"/>
        <v>1442</v>
      </c>
      <c r="AJ10" s="335">
        <f t="shared" si="24"/>
        <v>1370</v>
      </c>
      <c r="AK10" s="1281">
        <f t="shared" si="24"/>
        <v>5185</v>
      </c>
      <c r="AL10" s="335">
        <f t="shared" si="25" ref="AL10:AQ10">ROUND(INDEX(MO_UI_NEP,0,COLUMN()),6)</f>
        <v>1209</v>
      </c>
      <c r="AM10" s="335">
        <f t="shared" si="25"/>
        <v>1184</v>
      </c>
      <c r="AN10" s="335">
        <f t="shared" si="25"/>
        <v>1381</v>
      </c>
      <c r="AO10" s="335">
        <f t="shared" si="25"/>
        <v>1325</v>
      </c>
      <c r="AP10" s="1281">
        <f t="shared" si="25"/>
        <v>5099</v>
      </c>
      <c r="AQ10" s="335">
        <f t="shared" si="25"/>
        <v>1173</v>
      </c>
      <c r="AR10" s="335">
        <f t="shared" si="24"/>
        <v>1250</v>
      </c>
      <c r="AS10" s="335">
        <f t="shared" si="24"/>
        <v>1529</v>
      </c>
      <c r="AT10" s="335">
        <f t="shared" si="24"/>
        <v>1452</v>
      </c>
      <c r="AU10" s="1281">
        <f t="shared" si="24"/>
        <v>5404</v>
      </c>
      <c r="AV10" s="335">
        <f t="shared" si="26" ref="AV10:BE10">ROUND(INDEX(MO_UI_NEP,0,COLUMN()),6)</f>
        <v>1302</v>
      </c>
      <c r="AW10" s="335">
        <f t="shared" si="26"/>
        <v>1393</v>
      </c>
      <c r="AX10" s="335">
        <f t="shared" si="26"/>
        <v>1767</v>
      </c>
      <c r="AY10" s="335">
        <f t="shared" si="26"/>
        <v>1623</v>
      </c>
      <c r="AZ10" s="1281">
        <f t="shared" si="26"/>
        <v>6085</v>
      </c>
      <c r="BA10" s="335">
        <f t="shared" si="26"/>
        <v>1437</v>
      </c>
      <c r="BB10" s="335">
        <f t="shared" si="26"/>
        <v>1507</v>
      </c>
      <c r="BC10" s="335">
        <f>ROUND(INDEX(MO_UI_NEP,0,COLUMN()),6)</f>
        <v>1855</v>
      </c>
      <c r="BD10" s="335">
        <f t="shared" si="26"/>
        <v>1732</v>
      </c>
      <c r="BE10" s="1281">
        <f t="shared" si="26"/>
        <v>6531</v>
      </c>
      <c r="BF10" s="335">
        <f t="shared" si="27" ref="BF10:BJ10">ROUND(INDEX(MO_UI_NEP,0,COLUMN()),6)</f>
        <v>1546</v>
      </c>
      <c r="BG10" s="335">
        <f t="shared" si="27"/>
        <v>1585</v>
      </c>
      <c r="BH10" s="905">
        <f>ROUND(INDEX(MO_UI_NEP,0,COLUMN()),6)</f>
        <v>2055</v>
      </c>
      <c r="BI10" s="77">
        <f t="shared" si="27"/>
        <v>1433.2636</v>
      </c>
      <c r="BJ10" s="1282">
        <f t="shared" si="27"/>
        <v>6619.2636000000002</v>
      </c>
      <c r="BK10" s="77">
        <f t="shared" si="28" ref="BK10:BR10">ROUND(INDEX(MO_UI_NEP,0,COLUMN()),6)</f>
        <v>1534.7327150000001</v>
      </c>
      <c r="BL10" s="77">
        <f t="shared" si="28"/>
        <v>1549.1004499999999</v>
      </c>
      <c r="BM10" s="77">
        <f t="shared" si="28"/>
        <v>1701.5284799999999</v>
      </c>
      <c r="BN10" s="77">
        <f t="shared" si="28"/>
        <v>1565.3297050000001</v>
      </c>
      <c r="BO10" s="1282">
        <f t="shared" si="28"/>
        <v>6350.6913500000001</v>
      </c>
      <c r="BP10" s="1281">
        <f t="shared" si="28"/>
        <v>7176.389921</v>
      </c>
      <c r="BQ10" s="1281">
        <f t="shared" si="28"/>
        <v>9312.2284990000007</v>
      </c>
      <c r="BR10" s="1282">
        <f t="shared" si="28"/>
        <v>9811.1273939999992</v>
      </c>
      <c r="BS10" s="77"/>
    </row>
    <row r="11" spans="1:71" s="707" customFormat="1" ht="15">
      <c r="A11" s="203"/>
      <c r="B11" s="204"/>
      <c r="C11" s="1281"/>
      <c r="D11" s="1281"/>
      <c r="E11" s="1281"/>
      <c r="F11" s="1281"/>
      <c r="G11" s="1281"/>
      <c r="H11" s="335"/>
      <c r="I11" s="335"/>
      <c r="J11" s="335"/>
      <c r="K11" s="335"/>
      <c r="L11" s="1281"/>
      <c r="M11" s="335"/>
      <c r="N11" s="335"/>
      <c r="O11" s="335"/>
      <c r="P11" s="335"/>
      <c r="Q11" s="1281"/>
      <c r="R11" s="335"/>
      <c r="S11" s="335"/>
      <c r="T11" s="335"/>
      <c r="U11" s="335"/>
      <c r="V11" s="1281"/>
      <c r="W11" s="335"/>
      <c r="X11" s="335"/>
      <c r="Y11" s="335"/>
      <c r="Z11" s="335"/>
      <c r="AA11" s="1281"/>
      <c r="AB11" s="335"/>
      <c r="AC11" s="335"/>
      <c r="AD11" s="335"/>
      <c r="AE11" s="335"/>
      <c r="AF11" s="1281"/>
      <c r="AG11" s="335"/>
      <c r="AH11" s="335"/>
      <c r="AI11" s="335"/>
      <c r="AJ11" s="335"/>
      <c r="AK11" s="1281"/>
      <c r="AL11" s="335"/>
      <c r="AM11" s="335"/>
      <c r="AN11" s="335"/>
      <c r="AO11" s="335"/>
      <c r="AP11" s="1281"/>
      <c r="AQ11" s="335"/>
      <c r="AR11" s="335"/>
      <c r="AS11" s="335"/>
      <c r="AT11" s="335"/>
      <c r="AU11" s="1281"/>
      <c r="AV11" s="335"/>
      <c r="AW11" s="335"/>
      <c r="AX11" s="335"/>
      <c r="AY11" s="335"/>
      <c r="AZ11" s="1281"/>
      <c r="BA11" s="335"/>
      <c r="BB11" s="335"/>
      <c r="BC11" s="335"/>
      <c r="BD11" s="335"/>
      <c r="BE11" s="1281"/>
      <c r="BF11" s="335"/>
      <c r="BG11" s="335"/>
      <c r="BH11" s="905"/>
      <c r="BI11" s="77"/>
      <c r="BJ11" s="1282"/>
      <c r="BK11" s="77"/>
      <c r="BL11" s="77"/>
      <c r="BM11" s="77"/>
      <c r="BN11" s="77"/>
      <c r="BO11" s="1282"/>
      <c r="BP11" s="1281"/>
      <c r="BQ11" s="1281"/>
      <c r="BR11" s="1282"/>
      <c r="BS11" s="77"/>
    </row>
    <row r="12" spans="1:71" s="708" customFormat="1" ht="15">
      <c r="A12" s="205" t="str">
        <f>INDEX(MO_UI_Loss,0,COLUMN())</f>
        <v>Total Loss and LAE, mm</v>
      </c>
      <c r="B12" s="206"/>
      <c r="C12" s="1283">
        <f t="shared" si="29" ref="C12:AU12">INDEX(MO_UI_Loss,0,COLUMN())</f>
        <v>1187</v>
      </c>
      <c r="D12" s="1283">
        <f t="shared" si="29"/>
        <v>1457</v>
      </c>
      <c r="E12" s="1283">
        <f t="shared" si="29"/>
        <v>1744</v>
      </c>
      <c r="F12" s="1283">
        <f t="shared" si="29"/>
        <v>1873</v>
      </c>
      <c r="G12" s="1283">
        <f t="shared" si="29"/>
        <v>2040</v>
      </c>
      <c r="H12" s="336">
        <f t="shared" si="29"/>
        <v>429</v>
      </c>
      <c r="I12" s="336">
        <f t="shared" si="29"/>
        <v>602</v>
      </c>
      <c r="J12" s="336">
        <f t="shared" si="29"/>
        <v>784</v>
      </c>
      <c r="K12" s="336">
        <f t="shared" si="29"/>
        <v>679</v>
      </c>
      <c r="L12" s="1283">
        <f t="shared" si="29"/>
        <v>2494</v>
      </c>
      <c r="M12" s="336">
        <f t="shared" si="29"/>
        <v>576</v>
      </c>
      <c r="N12" s="336">
        <f t="shared" si="29"/>
        <v>601</v>
      </c>
      <c r="O12" s="336">
        <f t="shared" si="29"/>
        <v>825</v>
      </c>
      <c r="P12" s="336">
        <f t="shared" si="29"/>
        <v>693</v>
      </c>
      <c r="Q12" s="1283">
        <f t="shared" si="29"/>
        <v>2695</v>
      </c>
      <c r="R12" s="336">
        <f t="shared" si="29"/>
        <v>581</v>
      </c>
      <c r="S12" s="336">
        <f t="shared" si="29"/>
        <v>687</v>
      </c>
      <c r="T12" s="336">
        <f t="shared" si="29"/>
        <v>765</v>
      </c>
      <c r="U12" s="336">
        <f t="shared" si="29"/>
        <v>729</v>
      </c>
      <c r="V12" s="1283">
        <f t="shared" si="29"/>
        <v>2762</v>
      </c>
      <c r="W12" s="336">
        <f t="shared" si="29"/>
        <v>609</v>
      </c>
      <c r="X12" s="336">
        <f t="shared" si="29"/>
        <v>635</v>
      </c>
      <c r="Y12" s="336">
        <f t="shared" si="29"/>
        <v>995</v>
      </c>
      <c r="Z12" s="336">
        <f t="shared" si="29"/>
        <v>716</v>
      </c>
      <c r="AA12" s="1283">
        <f t="shared" si="29"/>
        <v>2955</v>
      </c>
      <c r="AB12" s="336">
        <f t="shared" si="29"/>
        <v>641</v>
      </c>
      <c r="AC12" s="336">
        <f t="shared" si="29"/>
        <v>693</v>
      </c>
      <c r="AD12" s="336">
        <f t="shared" si="29"/>
        <v>872</v>
      </c>
      <c r="AE12" s="336">
        <f t="shared" si="29"/>
        <v>797</v>
      </c>
      <c r="AF12" s="1283">
        <f t="shared" si="29"/>
        <v>3003</v>
      </c>
      <c r="AG12" s="336">
        <f t="shared" si="29"/>
        <v>692</v>
      </c>
      <c r="AH12" s="336">
        <f t="shared" si="29"/>
        <v>723</v>
      </c>
      <c r="AI12" s="336">
        <f t="shared" si="29"/>
        <v>944</v>
      </c>
      <c r="AJ12" s="336">
        <f t="shared" si="29"/>
        <v>912</v>
      </c>
      <c r="AK12" s="1283">
        <f t="shared" si="29"/>
        <v>3271</v>
      </c>
      <c r="AL12" s="336">
        <f t="shared" si="30" ref="AL12:AQ12">INDEX(MO_UI_Loss,0,COLUMN())</f>
        <v>707</v>
      </c>
      <c r="AM12" s="336">
        <f t="shared" si="30"/>
        <v>771</v>
      </c>
      <c r="AN12" s="336">
        <f t="shared" si="30"/>
        <v>963</v>
      </c>
      <c r="AO12" s="336">
        <f t="shared" si="30"/>
        <v>830</v>
      </c>
      <c r="AP12" s="1283">
        <f t="shared" si="30"/>
        <v>3271</v>
      </c>
      <c r="AQ12" s="336">
        <f t="shared" si="30"/>
        <v>667</v>
      </c>
      <c r="AR12" s="336">
        <f t="shared" si="29"/>
        <v>713</v>
      </c>
      <c r="AS12" s="336">
        <f t="shared" si="29"/>
        <v>953</v>
      </c>
      <c r="AT12" s="336">
        <f t="shared" si="29"/>
        <v>820</v>
      </c>
      <c r="AU12" s="1283">
        <f t="shared" si="29"/>
        <v>3153</v>
      </c>
      <c r="AV12" s="336">
        <f t="shared" si="31" ref="AV12:BE12">INDEX(MO_UI_Loss,0,COLUMN())</f>
        <v>692</v>
      </c>
      <c r="AW12" s="336">
        <f t="shared" si="31"/>
        <v>773</v>
      </c>
      <c r="AX12" s="336">
        <f t="shared" si="31"/>
        <v>1173</v>
      </c>
      <c r="AY12" s="336">
        <f t="shared" si="31"/>
        <v>987</v>
      </c>
      <c r="AZ12" s="1283">
        <f t="shared" si="31"/>
        <v>3625</v>
      </c>
      <c r="BA12" s="336">
        <f t="shared" si="31"/>
        <v>819</v>
      </c>
      <c r="BB12" s="336">
        <f t="shared" si="31"/>
        <v>906</v>
      </c>
      <c r="BC12" s="336">
        <f>INDEX(MO_UI_Loss,0,COLUMN())</f>
        <v>1238</v>
      </c>
      <c r="BD12" s="336">
        <f t="shared" si="31"/>
        <v>1052</v>
      </c>
      <c r="BE12" s="1283">
        <f t="shared" si="31"/>
        <v>4015</v>
      </c>
      <c r="BF12" s="336">
        <f t="shared" si="32" ref="BF12:BJ12">INDEX(MO_UI_Loss,0,COLUMN())</f>
        <v>906</v>
      </c>
      <c r="BG12" s="336">
        <f t="shared" si="32"/>
        <v>936</v>
      </c>
      <c r="BH12" s="906">
        <f>INDEX(MO_UI_Loss,0,COLUMN())</f>
        <v>1428</v>
      </c>
      <c r="BI12" s="146">
        <f t="shared" si="32"/>
        <v>862.10117799999978</v>
      </c>
      <c r="BJ12" s="1284">
        <f t="shared" si="32"/>
        <v>4132.101177999999</v>
      </c>
      <c r="BK12" s="146">
        <f t="shared" si="33" ref="BK12:BR12">INDEX(MO_UI_Loss,0,COLUMN())</f>
        <v>849.29725325000015</v>
      </c>
      <c r="BL12" s="146">
        <f t="shared" si="33"/>
        <v>909.48687800000016</v>
      </c>
      <c r="BM12" s="146">
        <f t="shared" si="33"/>
        <v>998.13535470000011</v>
      </c>
      <c r="BN12" s="146">
        <f t="shared" si="33"/>
        <v>835.92829483999981</v>
      </c>
      <c r="BO12" s="1284">
        <f t="shared" si="33"/>
        <v>3592.8477807899999</v>
      </c>
      <c r="BP12" s="1283">
        <f t="shared" si="33"/>
        <v>4230.05818818015</v>
      </c>
      <c r="BQ12" s="1283">
        <f t="shared" si="33"/>
        <v>5514.8419490297583</v>
      </c>
      <c r="BR12" s="1284">
        <f t="shared" si="33"/>
        <v>5801.1603585041757</v>
      </c>
      <c r="BS12" s="146"/>
    </row>
    <row r="13" spans="1:71" s="708" customFormat="1" ht="15">
      <c r="A13" s="207" t="str">
        <f>INDEX(MO_UI_OOE,0,COLUMN())</f>
        <v>Total Other Operating Expense, mm</v>
      </c>
      <c r="B13" s="208"/>
      <c r="C13" s="1285">
        <f t="shared" si="34" ref="C13:AU13">INDEX(MO_UI_OOE,0,COLUMN())</f>
        <v>808</v>
      </c>
      <c r="D13" s="1285">
        <f t="shared" si="34"/>
        <v>797</v>
      </c>
      <c r="E13" s="1285">
        <f t="shared" si="34"/>
        <v>835</v>
      </c>
      <c r="F13" s="1285">
        <f t="shared" si="34"/>
        <v>887</v>
      </c>
      <c r="G13" s="1285">
        <f t="shared" si="34"/>
        <v>1019</v>
      </c>
      <c r="H13" s="148">
        <f t="shared" si="34"/>
        <v>267</v>
      </c>
      <c r="I13" s="148">
        <f t="shared" si="34"/>
        <v>300</v>
      </c>
      <c r="J13" s="148">
        <f t="shared" si="34"/>
        <v>302</v>
      </c>
      <c r="K13" s="148">
        <f t="shared" si="34"/>
        <v>303</v>
      </c>
      <c r="L13" s="1285">
        <f t="shared" si="34"/>
        <v>1172</v>
      </c>
      <c r="M13" s="148">
        <f t="shared" si="34"/>
        <v>313</v>
      </c>
      <c r="N13" s="148">
        <f t="shared" si="34"/>
        <v>338</v>
      </c>
      <c r="O13" s="148">
        <f t="shared" si="34"/>
        <v>336</v>
      </c>
      <c r="P13" s="148">
        <f t="shared" si="34"/>
        <v>333</v>
      </c>
      <c r="Q13" s="1285">
        <f t="shared" si="34"/>
        <v>1320</v>
      </c>
      <c r="R13" s="148">
        <f t="shared" si="34"/>
        <v>334</v>
      </c>
      <c r="S13" s="148">
        <f t="shared" si="34"/>
        <v>348</v>
      </c>
      <c r="T13" s="148">
        <f t="shared" si="34"/>
        <v>356</v>
      </c>
      <c r="U13" s="148">
        <f t="shared" si="34"/>
        <v>311</v>
      </c>
      <c r="V13" s="1285">
        <f t="shared" si="34"/>
        <v>1349</v>
      </c>
      <c r="W13" s="148">
        <f t="shared" si="34"/>
        <v>339</v>
      </c>
      <c r="X13" s="148">
        <f t="shared" si="34"/>
        <v>366</v>
      </c>
      <c r="Y13" s="148">
        <f t="shared" si="34"/>
        <v>357</v>
      </c>
      <c r="Z13" s="148">
        <f t="shared" si="34"/>
        <v>345</v>
      </c>
      <c r="AA13" s="1285">
        <f t="shared" si="34"/>
        <v>1407</v>
      </c>
      <c r="AB13" s="148">
        <f t="shared" si="34"/>
        <v>381</v>
      </c>
      <c r="AC13" s="148">
        <f t="shared" si="34"/>
        <v>400</v>
      </c>
      <c r="AD13" s="148">
        <f t="shared" si="34"/>
        <v>424</v>
      </c>
      <c r="AE13" s="148">
        <f t="shared" si="34"/>
        <v>378</v>
      </c>
      <c r="AF13" s="1285">
        <f t="shared" si="34"/>
        <v>1583</v>
      </c>
      <c r="AG13" s="148">
        <f t="shared" si="34"/>
        <v>399</v>
      </c>
      <c r="AH13" s="148">
        <f t="shared" si="34"/>
        <v>426</v>
      </c>
      <c r="AI13" s="148">
        <f t="shared" si="34"/>
        <v>450</v>
      </c>
      <c r="AJ13" s="148">
        <f t="shared" si="34"/>
        <v>450</v>
      </c>
      <c r="AK13" s="1285">
        <f t="shared" si="34"/>
        <v>1725</v>
      </c>
      <c r="AL13" s="148">
        <f t="shared" si="35" ref="AL13:AQ13">INDEX(MO_UI_OOE,0,COLUMN())</f>
        <v>420</v>
      </c>
      <c r="AM13" s="148">
        <f t="shared" si="35"/>
        <v>409</v>
      </c>
      <c r="AN13" s="148">
        <f t="shared" si="35"/>
        <v>406</v>
      </c>
      <c r="AO13" s="148">
        <f t="shared" si="35"/>
        <v>390</v>
      </c>
      <c r="AP13" s="1285">
        <f t="shared" si="35"/>
        <v>1625</v>
      </c>
      <c r="AQ13" s="148">
        <f t="shared" si="35"/>
        <v>380</v>
      </c>
      <c r="AR13" s="148">
        <f t="shared" si="34"/>
        <v>390</v>
      </c>
      <c r="AS13" s="148">
        <f t="shared" si="34"/>
        <v>417</v>
      </c>
      <c r="AT13" s="148">
        <f t="shared" si="34"/>
        <v>360</v>
      </c>
      <c r="AU13" s="1285">
        <f t="shared" si="34"/>
        <v>1547</v>
      </c>
      <c r="AV13" s="148">
        <f t="shared" si="36" ref="AV13:BE13">INDEX(MO_UI_OOE,0,COLUMN())</f>
        <v>414</v>
      </c>
      <c r="AW13" s="148">
        <f t="shared" si="36"/>
        <v>432</v>
      </c>
      <c r="AX13" s="148">
        <f t="shared" si="36"/>
        <v>445</v>
      </c>
      <c r="AY13" s="148">
        <f t="shared" si="36"/>
        <v>427</v>
      </c>
      <c r="AZ13" s="1285">
        <f t="shared" si="36"/>
        <v>1718</v>
      </c>
      <c r="BA13" s="148">
        <f t="shared" si="36"/>
        <v>473</v>
      </c>
      <c r="BB13" s="148">
        <f t="shared" si="36"/>
        <v>485</v>
      </c>
      <c r="BC13" s="148">
        <f>INDEX(MO_UI_OOE,0,COLUMN())</f>
        <v>497</v>
      </c>
      <c r="BD13" s="148">
        <f t="shared" si="36"/>
        <v>480</v>
      </c>
      <c r="BE13" s="1285">
        <f t="shared" si="36"/>
        <v>1935</v>
      </c>
      <c r="BF13" s="148">
        <f t="shared" si="37" ref="BF13:BJ13">INDEX(MO_UI_OOE,0,COLUMN())</f>
        <v>503</v>
      </c>
      <c r="BG13" s="148">
        <f t="shared" si="37"/>
        <v>506</v>
      </c>
      <c r="BH13" s="907">
        <f>INDEX(MO_UI_OOE,0,COLUMN())</f>
        <v>518</v>
      </c>
      <c r="BI13" s="148">
        <f t="shared" si="37"/>
        <v>426.33014400000002</v>
      </c>
      <c r="BJ13" s="1285">
        <f t="shared" si="37"/>
        <v>1953.330144</v>
      </c>
      <c r="BK13" s="148">
        <f t="shared" si="38" ref="BK13:BR13">INDEX(MO_UI_OOE,0,COLUMN())</f>
        <v>446.36612530000002</v>
      </c>
      <c r="BL13" s="148">
        <f t="shared" si="38"/>
        <v>447.56595400000003</v>
      </c>
      <c r="BM13" s="148">
        <f t="shared" si="38"/>
        <v>488.90739560000003</v>
      </c>
      <c r="BN13" s="148">
        <f t="shared" si="38"/>
        <v>467.39506685999993</v>
      </c>
      <c r="BO13" s="1285">
        <f t="shared" si="38"/>
        <v>1850.23454176</v>
      </c>
      <c r="BP13" s="1285">
        <f t="shared" si="38"/>
        <v>2049.9507464746998</v>
      </c>
      <c r="BQ13" s="1285">
        <f t="shared" si="38"/>
        <v>2616.1400321230635</v>
      </c>
      <c r="BR13" s="1285">
        <f t="shared" si="38"/>
        <v>2763.9408625050169</v>
      </c>
      <c r="BS13" s="146"/>
    </row>
    <row r="14" spans="1:71" s="707" customFormat="1" ht="15">
      <c r="A14" s="216" t="str">
        <f>INDEX(MO_UI_UnderwritingExpense,0,COLUMN())</f>
        <v>Total Underwriting Expense, mm</v>
      </c>
      <c r="B14" s="217"/>
      <c r="C14" s="1286">
        <f t="shared" si="39" ref="C14:AU14">ROUND(INDEX(SP_UI_Loss,0,COLUMN())+INDEX(SP_UI_OOE,0,COLUMN()),6)</f>
        <v>1995</v>
      </c>
      <c r="D14" s="1286">
        <f t="shared" si="39"/>
        <v>2254</v>
      </c>
      <c r="E14" s="1286">
        <f t="shared" si="39"/>
        <v>2579</v>
      </c>
      <c r="F14" s="1286">
        <f t="shared" si="39"/>
        <v>2760</v>
      </c>
      <c r="G14" s="1286">
        <f t="shared" si="39"/>
        <v>3059</v>
      </c>
      <c r="H14" s="150">
        <f t="shared" si="39"/>
        <v>696</v>
      </c>
      <c r="I14" s="150">
        <f t="shared" si="39"/>
        <v>902</v>
      </c>
      <c r="J14" s="150">
        <f t="shared" si="39"/>
        <v>1086</v>
      </c>
      <c r="K14" s="150">
        <f t="shared" si="39"/>
        <v>982</v>
      </c>
      <c r="L14" s="1286">
        <f t="shared" si="39"/>
        <v>3666</v>
      </c>
      <c r="M14" s="150">
        <f t="shared" si="39"/>
        <v>889</v>
      </c>
      <c r="N14" s="150">
        <f t="shared" si="39"/>
        <v>939</v>
      </c>
      <c r="O14" s="150">
        <f t="shared" si="39"/>
        <v>1161</v>
      </c>
      <c r="P14" s="150">
        <f t="shared" si="39"/>
        <v>1026</v>
      </c>
      <c r="Q14" s="1286">
        <f t="shared" si="39"/>
        <v>4015</v>
      </c>
      <c r="R14" s="150">
        <f t="shared" si="39"/>
        <v>915</v>
      </c>
      <c r="S14" s="150">
        <f t="shared" si="39"/>
        <v>1035</v>
      </c>
      <c r="T14" s="150">
        <f t="shared" si="39"/>
        <v>1121</v>
      </c>
      <c r="U14" s="150">
        <f t="shared" si="39"/>
        <v>1040</v>
      </c>
      <c r="V14" s="1286">
        <f t="shared" si="39"/>
        <v>4111</v>
      </c>
      <c r="W14" s="150">
        <f t="shared" si="39"/>
        <v>948</v>
      </c>
      <c r="X14" s="150">
        <f t="shared" si="39"/>
        <v>1001</v>
      </c>
      <c r="Y14" s="150">
        <f t="shared" si="39"/>
        <v>1352</v>
      </c>
      <c r="Z14" s="150">
        <f t="shared" si="39"/>
        <v>1061</v>
      </c>
      <c r="AA14" s="1286">
        <f t="shared" si="39"/>
        <v>4362</v>
      </c>
      <c r="AB14" s="150">
        <f t="shared" si="39"/>
        <v>1022</v>
      </c>
      <c r="AC14" s="150">
        <f t="shared" si="39"/>
        <v>1093</v>
      </c>
      <c r="AD14" s="150">
        <f t="shared" si="39"/>
        <v>1296</v>
      </c>
      <c r="AE14" s="150">
        <f t="shared" si="39"/>
        <v>1175</v>
      </c>
      <c r="AF14" s="1286">
        <f t="shared" si="39"/>
        <v>4586</v>
      </c>
      <c r="AG14" s="150">
        <f t="shared" si="39"/>
        <v>1091</v>
      </c>
      <c r="AH14" s="150">
        <f t="shared" si="39"/>
        <v>1149</v>
      </c>
      <c r="AI14" s="150">
        <f t="shared" si="39"/>
        <v>1394</v>
      </c>
      <c r="AJ14" s="150">
        <f t="shared" si="39"/>
        <v>1362</v>
      </c>
      <c r="AK14" s="1286">
        <f t="shared" si="39"/>
        <v>4996</v>
      </c>
      <c r="AL14" s="150">
        <f t="shared" si="40" ref="AL14:AQ14">ROUND(INDEX(SP_UI_Loss,0,COLUMN())+INDEX(SP_UI_OOE,0,COLUMN()),6)</f>
        <v>1127</v>
      </c>
      <c r="AM14" s="150">
        <f t="shared" si="40"/>
        <v>1180</v>
      </c>
      <c r="AN14" s="150">
        <f t="shared" si="40"/>
        <v>1369</v>
      </c>
      <c r="AO14" s="150">
        <f t="shared" si="40"/>
        <v>1220</v>
      </c>
      <c r="AP14" s="1286">
        <f t="shared" si="40"/>
        <v>4896</v>
      </c>
      <c r="AQ14" s="150">
        <f t="shared" si="40"/>
        <v>1047</v>
      </c>
      <c r="AR14" s="150">
        <f t="shared" si="39"/>
        <v>1103</v>
      </c>
      <c r="AS14" s="150">
        <f t="shared" si="39"/>
        <v>1370</v>
      </c>
      <c r="AT14" s="150">
        <f t="shared" si="39"/>
        <v>1180</v>
      </c>
      <c r="AU14" s="1286">
        <f t="shared" si="39"/>
        <v>4700</v>
      </c>
      <c r="AV14" s="150">
        <f t="shared" si="41" ref="AV14:BE14">ROUND(INDEX(SP_UI_Loss,0,COLUMN())+INDEX(SP_UI_OOE,0,COLUMN()),6)</f>
        <v>1106</v>
      </c>
      <c r="AW14" s="150">
        <f t="shared" si="41"/>
        <v>1205</v>
      </c>
      <c r="AX14" s="150">
        <f t="shared" si="41"/>
        <v>1618</v>
      </c>
      <c r="AY14" s="150">
        <f t="shared" si="41"/>
        <v>1414</v>
      </c>
      <c r="AZ14" s="1286">
        <f t="shared" si="41"/>
        <v>5343</v>
      </c>
      <c r="BA14" s="150">
        <f t="shared" si="41"/>
        <v>1292</v>
      </c>
      <c r="BB14" s="150">
        <f t="shared" si="41"/>
        <v>1391</v>
      </c>
      <c r="BC14" s="150">
        <f>ROUND(INDEX(SP_UI_Loss,0,COLUMN())+INDEX(SP_UI_OOE,0,COLUMN()),6)</f>
        <v>1735</v>
      </c>
      <c r="BD14" s="150">
        <f t="shared" si="41"/>
        <v>1532</v>
      </c>
      <c r="BE14" s="1286">
        <f t="shared" si="41"/>
        <v>5950</v>
      </c>
      <c r="BF14" s="150">
        <f t="shared" si="42" ref="BF14:BJ14">ROUND(INDEX(SP_UI_Loss,0,COLUMN())+INDEX(SP_UI_OOE,0,COLUMN()),6)</f>
        <v>1409</v>
      </c>
      <c r="BG14" s="150">
        <f t="shared" si="42"/>
        <v>1442</v>
      </c>
      <c r="BH14" s="908">
        <f>ROUND(INDEX(SP_UI_Loss,0,COLUMN())+INDEX(SP_UI_OOE,0,COLUMN()),6)</f>
        <v>1946</v>
      </c>
      <c r="BI14" s="150">
        <f t="shared" si="42"/>
        <v>1288.4313219999999</v>
      </c>
      <c r="BJ14" s="1286">
        <f t="shared" si="42"/>
        <v>6085.4313220000004</v>
      </c>
      <c r="BK14" s="150">
        <f t="shared" si="43" ref="BK14:BR14">ROUND(INDEX(SP_UI_Loss,0,COLUMN())+INDEX(SP_UI_OOE,0,COLUMN()),6)</f>
        <v>1295.6633790000001</v>
      </c>
      <c r="BL14" s="150">
        <f t="shared" si="43"/>
        <v>1357.0528320000001</v>
      </c>
      <c r="BM14" s="150">
        <f t="shared" si="43"/>
        <v>1487.0427500000001</v>
      </c>
      <c r="BN14" s="150">
        <f t="shared" si="43"/>
        <v>1303.3233620000001</v>
      </c>
      <c r="BO14" s="1286">
        <f t="shared" si="43"/>
        <v>5443.0823229999996</v>
      </c>
      <c r="BP14" s="1286">
        <f t="shared" si="43"/>
        <v>6280.0089349999998</v>
      </c>
      <c r="BQ14" s="1286">
        <f t="shared" si="43"/>
        <v>8130.9819809999999</v>
      </c>
      <c r="BR14" s="1286">
        <f t="shared" si="43"/>
        <v>8565.1012210000008</v>
      </c>
      <c r="BS14" s="77"/>
    </row>
    <row r="15" spans="1:71" s="708" customFormat="1" ht="15">
      <c r="A15" s="209"/>
      <c r="B15" s="206"/>
      <c r="C15" s="1283"/>
      <c r="D15" s="1283"/>
      <c r="E15" s="1283"/>
      <c r="F15" s="1283"/>
      <c r="G15" s="1283"/>
      <c r="H15" s="336"/>
      <c r="I15" s="336"/>
      <c r="J15" s="336"/>
      <c r="K15" s="336"/>
      <c r="L15" s="1283"/>
      <c r="M15" s="336"/>
      <c r="N15" s="336"/>
      <c r="O15" s="336"/>
      <c r="P15" s="336"/>
      <c r="Q15" s="1283"/>
      <c r="R15" s="336"/>
      <c r="S15" s="336"/>
      <c r="T15" s="336"/>
      <c r="U15" s="336"/>
      <c r="V15" s="1283"/>
      <c r="W15" s="336"/>
      <c r="X15" s="336"/>
      <c r="Y15" s="336"/>
      <c r="Z15" s="336"/>
      <c r="AA15" s="1283"/>
      <c r="AB15" s="336"/>
      <c r="AC15" s="336"/>
      <c r="AD15" s="336"/>
      <c r="AE15" s="336"/>
      <c r="AF15" s="1283"/>
      <c r="AG15" s="336"/>
      <c r="AH15" s="336"/>
      <c r="AI15" s="336"/>
      <c r="AJ15" s="336"/>
      <c r="AK15" s="1283"/>
      <c r="AL15" s="336"/>
      <c r="AM15" s="336"/>
      <c r="AN15" s="336"/>
      <c r="AO15" s="336"/>
      <c r="AP15" s="1283"/>
      <c r="AQ15" s="336"/>
      <c r="AR15" s="336"/>
      <c r="AS15" s="336"/>
      <c r="AT15" s="336"/>
      <c r="AU15" s="1283"/>
      <c r="AV15" s="336"/>
      <c r="AW15" s="336"/>
      <c r="AX15" s="336"/>
      <c r="AY15" s="336"/>
      <c r="AZ15" s="1283"/>
      <c r="BA15" s="336"/>
      <c r="BB15" s="336"/>
      <c r="BC15" s="336"/>
      <c r="BD15" s="336"/>
      <c r="BE15" s="1283"/>
      <c r="BF15" s="336"/>
      <c r="BG15" s="336"/>
      <c r="BH15" s="906"/>
      <c r="BI15" s="146"/>
      <c r="BJ15" s="1284"/>
      <c r="BK15" s="146"/>
      <c r="BL15" s="146"/>
      <c r="BM15" s="146"/>
      <c r="BN15" s="146"/>
      <c r="BO15" s="1284"/>
      <c r="BP15" s="1283"/>
      <c r="BQ15" s="1283"/>
      <c r="BR15" s="1284"/>
      <c r="BS15" s="146"/>
    </row>
    <row r="16" spans="1:71" s="707" customFormat="1" ht="15">
      <c r="A16" s="203" t="str">
        <f>INDEX(MO_UI_UI,0,COLUMN())</f>
        <v>Total Underwriting Income, mm</v>
      </c>
      <c r="B16" s="204"/>
      <c r="C16" s="1281">
        <f t="shared" si="44" ref="C16:AU16">ROUND(INDEX(SP_UI_NEP,0,COLUMN())-INDEX(SP_UI_UnderwritingExpense,0,COLUMN()),6)</f>
        <v>417</v>
      </c>
      <c r="D16" s="1281">
        <f t="shared" si="44"/>
        <v>296</v>
      </c>
      <c r="E16" s="1281">
        <f t="shared" si="44"/>
        <v>180</v>
      </c>
      <c r="F16" s="1281">
        <f t="shared" si="44"/>
        <v>87</v>
      </c>
      <c r="G16" s="1281">
        <f t="shared" si="44"/>
        <v>145</v>
      </c>
      <c r="H16" s="335">
        <f t="shared" si="44"/>
        <v>58</v>
      </c>
      <c r="I16" s="335">
        <f t="shared" si="44"/>
        <v>29</v>
      </c>
      <c r="J16" s="335">
        <f t="shared" si="44"/>
        <v>46</v>
      </c>
      <c r="K16" s="335">
        <f t="shared" si="44"/>
        <v>79</v>
      </c>
      <c r="L16" s="1281">
        <f t="shared" si="44"/>
        <v>212</v>
      </c>
      <c r="M16" s="335">
        <f t="shared" si="44"/>
        <v>57</v>
      </c>
      <c r="N16" s="335">
        <f t="shared" si="44"/>
        <v>46</v>
      </c>
      <c r="O16" s="335">
        <f t="shared" si="44"/>
        <v>12</v>
      </c>
      <c r="P16" s="335">
        <f t="shared" si="44"/>
        <v>94</v>
      </c>
      <c r="Q16" s="1281">
        <f t="shared" si="44"/>
        <v>209</v>
      </c>
      <c r="R16" s="335">
        <f t="shared" si="44"/>
        <v>83</v>
      </c>
      <c r="S16" s="335">
        <f t="shared" si="44"/>
        <v>-8</v>
      </c>
      <c r="T16" s="335">
        <f t="shared" si="44"/>
        <v>38</v>
      </c>
      <c r="U16" s="335">
        <f t="shared" si="44"/>
        <v>104</v>
      </c>
      <c r="V16" s="1281">
        <f t="shared" si="44"/>
        <v>217</v>
      </c>
      <c r="W16" s="335">
        <f t="shared" si="44"/>
        <v>74</v>
      </c>
      <c r="X16" s="335">
        <f t="shared" si="44"/>
        <v>64</v>
      </c>
      <c r="Y16" s="335">
        <f t="shared" si="44"/>
        <v>-85</v>
      </c>
      <c r="Z16" s="335">
        <f t="shared" si="44"/>
        <v>164</v>
      </c>
      <c r="AA16" s="1281">
        <f t="shared" si="44"/>
        <v>217</v>
      </c>
      <c r="AB16" s="335">
        <f t="shared" si="44"/>
        <v>85</v>
      </c>
      <c r="AC16" s="335">
        <f t="shared" si="44"/>
        <v>68</v>
      </c>
      <c r="AD16" s="335">
        <f t="shared" si="44"/>
        <v>31</v>
      </c>
      <c r="AE16" s="335">
        <f t="shared" si="44"/>
        <v>95</v>
      </c>
      <c r="AF16" s="1281">
        <f t="shared" si="44"/>
        <v>279</v>
      </c>
      <c r="AG16" s="335">
        <f t="shared" si="44"/>
        <v>82</v>
      </c>
      <c r="AH16" s="335">
        <f t="shared" si="44"/>
        <v>51</v>
      </c>
      <c r="AI16" s="335">
        <f t="shared" si="44"/>
        <v>48</v>
      </c>
      <c r="AJ16" s="335">
        <f t="shared" si="44"/>
        <v>8</v>
      </c>
      <c r="AK16" s="1281">
        <f t="shared" si="44"/>
        <v>189</v>
      </c>
      <c r="AL16" s="335">
        <f t="shared" si="45" ref="AL16:AQ16">ROUND(INDEX(SP_UI_NEP,0,COLUMN())-INDEX(SP_UI_UnderwritingExpense,0,COLUMN()),6)</f>
        <v>82</v>
      </c>
      <c r="AM16" s="335">
        <f t="shared" si="45"/>
        <v>4</v>
      </c>
      <c r="AN16" s="335">
        <f t="shared" si="45"/>
        <v>12</v>
      </c>
      <c r="AO16" s="335">
        <f t="shared" si="45"/>
        <v>105</v>
      </c>
      <c r="AP16" s="1281">
        <f t="shared" si="45"/>
        <v>203</v>
      </c>
      <c r="AQ16" s="335">
        <f t="shared" si="45"/>
        <v>126</v>
      </c>
      <c r="AR16" s="335">
        <f t="shared" si="44"/>
        <v>147</v>
      </c>
      <c r="AS16" s="335">
        <f t="shared" si="44"/>
        <v>159</v>
      </c>
      <c r="AT16" s="335">
        <f t="shared" si="44"/>
        <v>272</v>
      </c>
      <c r="AU16" s="1281">
        <f t="shared" si="44"/>
        <v>704</v>
      </c>
      <c r="AV16" s="335">
        <f t="shared" si="46" ref="AV16:BE16">ROUND(INDEX(SP_UI_NEP,0,COLUMN())-INDEX(SP_UI_UnderwritingExpense,0,COLUMN()),6)</f>
        <v>196</v>
      </c>
      <c r="AW16" s="335">
        <f t="shared" si="46"/>
        <v>188</v>
      </c>
      <c r="AX16" s="335">
        <f t="shared" si="46"/>
        <v>149</v>
      </c>
      <c r="AY16" s="335">
        <f t="shared" si="46"/>
        <v>209</v>
      </c>
      <c r="AZ16" s="1281">
        <f t="shared" si="46"/>
        <v>742</v>
      </c>
      <c r="BA16" s="335">
        <f t="shared" si="46"/>
        <v>145</v>
      </c>
      <c r="BB16" s="335">
        <f t="shared" si="46"/>
        <v>116</v>
      </c>
      <c r="BC16" s="335">
        <f>ROUND(INDEX(SP_UI_NEP,0,COLUMN())-INDEX(SP_UI_UnderwritingExpense,0,COLUMN()),6)</f>
        <v>120</v>
      </c>
      <c r="BD16" s="335">
        <f t="shared" si="46"/>
        <v>200</v>
      </c>
      <c r="BE16" s="1281">
        <f t="shared" si="46"/>
        <v>581</v>
      </c>
      <c r="BF16" s="335">
        <f t="shared" si="47" ref="BF16:BJ16">ROUND(INDEX(SP_UI_NEP,0,COLUMN())-INDEX(SP_UI_UnderwritingExpense,0,COLUMN()),6)</f>
        <v>137</v>
      </c>
      <c r="BG16" s="335">
        <f t="shared" si="47"/>
        <v>143</v>
      </c>
      <c r="BH16" s="905">
        <f>ROUND(INDEX(SP_UI_NEP,0,COLUMN())-INDEX(SP_UI_UnderwritingExpense,0,COLUMN()),6)</f>
        <v>109</v>
      </c>
      <c r="BI16" s="77">
        <f t="shared" si="47"/>
        <v>144.832278</v>
      </c>
      <c r="BJ16" s="1282">
        <f t="shared" si="47"/>
        <v>533.83227799999997</v>
      </c>
      <c r="BK16" s="77">
        <f t="shared" si="48" ref="BK16:BR16">ROUND(INDEX(SP_UI_NEP,0,COLUMN())-INDEX(SP_UI_UnderwritingExpense,0,COLUMN()),6)</f>
        <v>239.06933599999999</v>
      </c>
      <c r="BL16" s="77">
        <f t="shared" si="48"/>
        <v>192.047618</v>
      </c>
      <c r="BM16" s="77">
        <f t="shared" si="48"/>
        <v>214.48572999999999</v>
      </c>
      <c r="BN16" s="77">
        <f t="shared" si="48"/>
        <v>262.00634300000002</v>
      </c>
      <c r="BO16" s="1282">
        <f t="shared" si="48"/>
        <v>907.60902699999997</v>
      </c>
      <c r="BP16" s="1281">
        <f t="shared" si="48"/>
        <v>896.38098600000001</v>
      </c>
      <c r="BQ16" s="1281">
        <f t="shared" si="48"/>
        <v>1181.2465179999999</v>
      </c>
      <c r="BR16" s="1282">
        <f t="shared" si="48"/>
        <v>1246.026173</v>
      </c>
      <c r="BS16" s="77"/>
    </row>
    <row r="17" spans="1:71" s="707" customFormat="1" ht="15">
      <c r="A17" s="203"/>
      <c r="B17" s="204"/>
      <c r="C17" s="1281"/>
      <c r="D17" s="1281"/>
      <c r="E17" s="1281"/>
      <c r="F17" s="1281"/>
      <c r="G17" s="1281"/>
      <c r="H17" s="335"/>
      <c r="I17" s="335"/>
      <c r="J17" s="335"/>
      <c r="K17" s="335"/>
      <c r="L17" s="1281"/>
      <c r="M17" s="335"/>
      <c r="N17" s="335"/>
      <c r="O17" s="335"/>
      <c r="P17" s="335"/>
      <c r="Q17" s="1281"/>
      <c r="R17" s="335"/>
      <c r="S17" s="335"/>
      <c r="T17" s="335"/>
      <c r="U17" s="335"/>
      <c r="V17" s="1281"/>
      <c r="W17" s="335"/>
      <c r="X17" s="335"/>
      <c r="Y17" s="335"/>
      <c r="Z17" s="335"/>
      <c r="AA17" s="1281"/>
      <c r="AB17" s="335"/>
      <c r="AC17" s="335"/>
      <c r="AD17" s="335"/>
      <c r="AE17" s="335"/>
      <c r="AF17" s="1281"/>
      <c r="AG17" s="335"/>
      <c r="AH17" s="335"/>
      <c r="AI17" s="335"/>
      <c r="AJ17" s="335"/>
      <c r="AK17" s="1281"/>
      <c r="AL17" s="335"/>
      <c r="AM17" s="335"/>
      <c r="AN17" s="335"/>
      <c r="AO17" s="335"/>
      <c r="AP17" s="1281"/>
      <c r="AQ17" s="335"/>
      <c r="AR17" s="335"/>
      <c r="AS17" s="335"/>
      <c r="AT17" s="335"/>
      <c r="AU17" s="1281"/>
      <c r="AV17" s="335"/>
      <c r="AW17" s="335"/>
      <c r="AX17" s="335"/>
      <c r="AY17" s="335"/>
      <c r="AZ17" s="1281"/>
      <c r="BA17" s="335"/>
      <c r="BB17" s="335"/>
      <c r="BC17" s="335"/>
      <c r="BD17" s="335"/>
      <c r="BE17" s="1281"/>
      <c r="BF17" s="335"/>
      <c r="BG17" s="335"/>
      <c r="BH17" s="905"/>
      <c r="BI17" s="77"/>
      <c r="BJ17" s="1282"/>
      <c r="BK17" s="77"/>
      <c r="BL17" s="77"/>
      <c r="BM17" s="77"/>
      <c r="BN17" s="77"/>
      <c r="BO17" s="1282"/>
      <c r="BP17" s="1281"/>
      <c r="BQ17" s="1281"/>
      <c r="BR17" s="1282"/>
      <c r="BS17" s="77"/>
    </row>
    <row r="18" spans="1:71" ht="15">
      <c r="A18" s="70" t="s">
        <v>433</v>
      </c>
      <c r="B18" s="958"/>
      <c r="C18" s="1012"/>
      <c r="D18" s="1012"/>
      <c r="E18" s="1012"/>
      <c r="F18" s="1012"/>
      <c r="G18" s="1012"/>
      <c r="H18" s="1012"/>
      <c r="I18" s="1012"/>
      <c r="J18" s="1012"/>
      <c r="K18" s="1012"/>
      <c r="L18" s="1012"/>
      <c r="M18" s="1012"/>
      <c r="N18" s="1012"/>
      <c r="O18" s="1012"/>
      <c r="P18" s="1012"/>
      <c r="Q18" s="1012"/>
      <c r="R18" s="1012"/>
      <c r="S18" s="1012"/>
      <c r="T18" s="1012"/>
      <c r="U18" s="1012"/>
      <c r="V18" s="1012"/>
      <c r="W18" s="1012"/>
      <c r="X18" s="1012"/>
      <c r="Y18" s="1012"/>
      <c r="Z18" s="1012"/>
      <c r="AA18" s="1012"/>
      <c r="AB18" s="1012"/>
      <c r="AC18" s="1012"/>
      <c r="AD18" s="1012"/>
      <c r="AE18" s="1012"/>
      <c r="AF18" s="1012"/>
      <c r="AG18" s="1012"/>
      <c r="AH18" s="1012"/>
      <c r="AI18" s="1012"/>
      <c r="AJ18" s="1012"/>
      <c r="AK18" s="1012"/>
      <c r="AL18" s="1012"/>
      <c r="AM18" s="1012"/>
      <c r="AN18" s="1012"/>
      <c r="AO18" s="1012"/>
      <c r="AP18" s="1012"/>
      <c r="AQ18" s="1012"/>
      <c r="AR18" s="1012"/>
      <c r="AS18" s="1012"/>
      <c r="AT18" s="1012"/>
      <c r="AU18" s="1012"/>
      <c r="AV18" s="1012"/>
      <c r="AW18" s="1012"/>
      <c r="AX18" s="1012"/>
      <c r="AY18" s="1012"/>
      <c r="AZ18" s="1012"/>
      <c r="BA18" s="1012"/>
      <c r="BB18" s="1012"/>
      <c r="BC18" s="1012"/>
      <c r="BD18" s="1012"/>
      <c r="BE18" s="1012"/>
      <c r="BF18" s="1012"/>
      <c r="BG18" s="1012"/>
      <c r="BH18" s="1013"/>
      <c r="BI18" s="1014"/>
      <c r="BJ18" s="1014"/>
      <c r="BK18" s="1014"/>
      <c r="BL18" s="1014"/>
      <c r="BM18" s="1014"/>
      <c r="BN18" s="1014"/>
      <c r="BO18" s="1014"/>
      <c r="BP18" s="1012"/>
      <c r="BQ18" s="1012"/>
      <c r="BR18" s="1014"/>
      <c r="BS18" s="960"/>
    </row>
    <row r="19" spans="1:71" s="699" customFormat="1" ht="15">
      <c r="A19" s="210" t="str">
        <f>INDEX(MO_UR_LossRatio,0,COLUMN())</f>
        <v>Total Loss and LAE Ratio, %</v>
      </c>
      <c r="B19" s="211"/>
      <c r="C19" s="1287">
        <f t="shared" si="49" ref="C19:AU19">INDEX(MO_UR_LossRatio,0,COLUMN())</f>
        <v>0</v>
      </c>
      <c r="D19" s="1287">
        <f t="shared" si="49"/>
        <v>0</v>
      </c>
      <c r="E19" s="1287">
        <f t="shared" si="49"/>
        <v>0.63211300000000004</v>
      </c>
      <c r="F19" s="1287">
        <f t="shared" si="49"/>
        <v>0.65788500000000005</v>
      </c>
      <c r="G19" s="1287">
        <f t="shared" si="49"/>
        <v>0.63670400000000005</v>
      </c>
      <c r="H19" s="337">
        <f t="shared" si="49"/>
        <v>0.56896599999999997</v>
      </c>
      <c r="I19" s="337">
        <f t="shared" si="49"/>
        <v>0.646617</v>
      </c>
      <c r="J19" s="337">
        <f t="shared" si="49"/>
        <v>0.69257999999999997</v>
      </c>
      <c r="K19" s="337">
        <f t="shared" si="49"/>
        <v>0.63996200000000003</v>
      </c>
      <c r="L19" s="1287">
        <f t="shared" si="49"/>
        <v>0.64311499999999999</v>
      </c>
      <c r="M19" s="337">
        <f t="shared" si="49"/>
        <v>0.60887899999999995</v>
      </c>
      <c r="N19" s="337">
        <f t="shared" si="49"/>
        <v>0.61015200000000003</v>
      </c>
      <c r="O19" s="337">
        <f t="shared" si="49"/>
        <v>0.70332499999999998</v>
      </c>
      <c r="P19" s="337">
        <f t="shared" si="49"/>
        <v>0.61875</v>
      </c>
      <c r="Q19" s="1287">
        <f t="shared" si="49"/>
        <v>0.63802099999999995</v>
      </c>
      <c r="R19" s="337">
        <f t="shared" si="49"/>
        <v>0.58216400000000001</v>
      </c>
      <c r="S19" s="337">
        <f t="shared" si="49"/>
        <v>0.66893899999999995</v>
      </c>
      <c r="T19" s="337">
        <f t="shared" si="49"/>
        <v>0.66005199999999997</v>
      </c>
      <c r="U19" s="337">
        <f t="shared" si="49"/>
        <v>0.63723799999999997</v>
      </c>
      <c r="V19" s="1287">
        <f t="shared" si="49"/>
        <v>0.63817000000000002</v>
      </c>
      <c r="W19" s="337">
        <f t="shared" si="49"/>
        <v>0.59589000000000003</v>
      </c>
      <c r="X19" s="337">
        <f t="shared" si="49"/>
        <v>0.596244</v>
      </c>
      <c r="Y19" s="337">
        <f t="shared" si="49"/>
        <v>0.78532000000000002</v>
      </c>
      <c r="Z19" s="337">
        <f t="shared" si="49"/>
        <v>0.58448999999999995</v>
      </c>
      <c r="AA19" s="1287">
        <f t="shared" si="49"/>
        <v>0.64533700000000005</v>
      </c>
      <c r="AB19" s="337">
        <f t="shared" si="49"/>
        <v>0.57904199999999995</v>
      </c>
      <c r="AC19" s="337">
        <f t="shared" si="49"/>
        <v>0.59689899999999996</v>
      </c>
      <c r="AD19" s="337">
        <f t="shared" si="49"/>
        <v>0.65712099999999996</v>
      </c>
      <c r="AE19" s="337">
        <f t="shared" si="49"/>
        <v>0.62755899999999998</v>
      </c>
      <c r="AF19" s="1287">
        <f t="shared" si="49"/>
        <v>0.61726599999999998</v>
      </c>
      <c r="AG19" s="337">
        <f t="shared" si="49"/>
        <v>0.58994000000000002</v>
      </c>
      <c r="AH19" s="337">
        <f t="shared" si="49"/>
        <v>0.60250000000000004</v>
      </c>
      <c r="AI19" s="337">
        <f t="shared" si="49"/>
        <v>0.65464599999999995</v>
      </c>
      <c r="AJ19" s="337">
        <f t="shared" si="49"/>
        <v>0.66569299999999998</v>
      </c>
      <c r="AK19" s="1287">
        <f t="shared" si="49"/>
        <v>0.63085800000000003</v>
      </c>
      <c r="AL19" s="337">
        <f t="shared" si="50" ref="AL19:AQ19">INDEX(MO_UR_LossRatio,0,COLUMN())</f>
        <v>0.584781</v>
      </c>
      <c r="AM19" s="337">
        <f t="shared" si="50"/>
        <v>0.65118200000000004</v>
      </c>
      <c r="AN19" s="337">
        <f t="shared" si="50"/>
        <v>0.69732099999999997</v>
      </c>
      <c r="AO19" s="337">
        <f t="shared" si="50"/>
        <v>0.62641500000000006</v>
      </c>
      <c r="AP19" s="1287">
        <f t="shared" si="50"/>
        <v>0.64149800000000001</v>
      </c>
      <c r="AQ19" s="337">
        <f t="shared" si="50"/>
        <v>0.56862699999999999</v>
      </c>
      <c r="AR19" s="337">
        <f t="shared" si="49"/>
        <v>0.57040000000000002</v>
      </c>
      <c r="AS19" s="337">
        <f t="shared" si="49"/>
        <v>0.62328300000000003</v>
      </c>
      <c r="AT19" s="337">
        <f t="shared" si="49"/>
        <v>0.56473799999999996</v>
      </c>
      <c r="AU19" s="1287">
        <f t="shared" si="49"/>
        <v>0.583457</v>
      </c>
      <c r="AV19" s="337">
        <f t="shared" si="51" ref="AV19:BE19">INDEX(MO_UR_LossRatio,0,COLUMN())</f>
        <v>0.53149000000000002</v>
      </c>
      <c r="AW19" s="337">
        <f t="shared" si="51"/>
        <v>0.55491699999999999</v>
      </c>
      <c r="AX19" s="337">
        <f t="shared" si="51"/>
        <v>0.66383700000000001</v>
      </c>
      <c r="AY19" s="337">
        <f t="shared" si="51"/>
        <v>0.60813300000000003</v>
      </c>
      <c r="AZ19" s="1287">
        <f t="shared" si="51"/>
        <v>0.59572700000000001</v>
      </c>
      <c r="BA19" s="337">
        <f t="shared" si="51"/>
        <v>0.56993700000000003</v>
      </c>
      <c r="BB19" s="337">
        <f t="shared" si="51"/>
        <v>0.60119400000000001</v>
      </c>
      <c r="BC19" s="337">
        <f>INDEX(MO_UR_LossRatio,0,COLUMN())</f>
        <v>0.66738500000000001</v>
      </c>
      <c r="BD19" s="337">
        <f t="shared" si="51"/>
        <v>0.60738999999999999</v>
      </c>
      <c r="BE19" s="1287">
        <f t="shared" si="51"/>
        <v>0.61475999999999997</v>
      </c>
      <c r="BF19" s="337">
        <f t="shared" si="52" ref="BF19:BJ19">INDEX(MO_UR_LossRatio,0,COLUMN())</f>
        <v>0.58602799999999999</v>
      </c>
      <c r="BG19" s="337">
        <f t="shared" si="52"/>
        <v>0.59053599999999995</v>
      </c>
      <c r="BH19" s="909">
        <f>INDEX(MO_UR_LossRatio,0,COLUMN())</f>
        <v>0.69489100000000004</v>
      </c>
      <c r="BI19" s="79">
        <f t="shared" si="52"/>
        <v>0.601495</v>
      </c>
      <c r="BJ19" s="1288">
        <f t="shared" si="52"/>
        <v>0.62425399999999998</v>
      </c>
      <c r="BK19" s="79">
        <f t="shared" si="53" ref="BK19:BR19">INDEX(MO_UR_LossRatio,0,COLUMN())</f>
        <v>0.55338399999999999</v>
      </c>
      <c r="BL19" s="79">
        <f t="shared" si="53"/>
        <v>0.58710600000000002</v>
      </c>
      <c r="BM19" s="79">
        <f t="shared" si="53"/>
        <v>0.58661099999999999</v>
      </c>
      <c r="BN19" s="79">
        <f t="shared" si="53"/>
        <v>0.53402700000000003</v>
      </c>
      <c r="BO19" s="1288">
        <f t="shared" si="53"/>
        <v>0.56574100000000005</v>
      </c>
      <c r="BP19" s="1287">
        <f t="shared" si="53"/>
        <v>0.58944099999999999</v>
      </c>
      <c r="BQ19" s="1287">
        <f t="shared" si="53"/>
        <v>0.59221500000000005</v>
      </c>
      <c r="BR19" s="1288">
        <f t="shared" si="53"/>
        <v>0.59128400000000003</v>
      </c>
      <c r="BS19" s="79"/>
    </row>
    <row r="20" spans="1:71" s="699" customFormat="1" ht="15">
      <c r="A20" s="212" t="str">
        <f>INDEX(MO_UR_OOERatio,0,COLUMN())</f>
        <v>Total Other Operating Expense Ratio, %</v>
      </c>
      <c r="B20" s="213"/>
      <c r="C20" s="1289">
        <f t="shared" si="54" ref="C20:AU20">INDEX(MO_UR_OOERatio,0,COLUMN())</f>
        <v>0</v>
      </c>
      <c r="D20" s="1289">
        <f t="shared" si="54"/>
        <v>0</v>
      </c>
      <c r="E20" s="1289">
        <f t="shared" si="54"/>
        <v>0.30264600000000003</v>
      </c>
      <c r="F20" s="1289">
        <f t="shared" si="54"/>
        <v>0.311556</v>
      </c>
      <c r="G20" s="1289">
        <f t="shared" si="54"/>
        <v>0.31803999999999999</v>
      </c>
      <c r="H20" s="81">
        <f t="shared" si="54"/>
        <v>0.35411100000000001</v>
      </c>
      <c r="I20" s="81">
        <f t="shared" si="54"/>
        <v>0.32223400000000002</v>
      </c>
      <c r="J20" s="81">
        <f t="shared" si="54"/>
        <v>0.26678400000000002</v>
      </c>
      <c r="K20" s="81">
        <f t="shared" si="54"/>
        <v>0.28558</v>
      </c>
      <c r="L20" s="1289">
        <f t="shared" si="54"/>
        <v>0.30221799999999999</v>
      </c>
      <c r="M20" s="81">
        <f t="shared" si="54"/>
        <v>0.33086700000000002</v>
      </c>
      <c r="N20" s="81">
        <f t="shared" si="54"/>
        <v>0.34314699999999998</v>
      </c>
      <c r="O20" s="81">
        <f t="shared" si="54"/>
        <v>0.28644500000000001</v>
      </c>
      <c r="P20" s="81">
        <f t="shared" si="54"/>
        <v>0.297321</v>
      </c>
      <c r="Q20" s="1289">
        <f t="shared" si="54"/>
        <v>0.3125</v>
      </c>
      <c r="R20" s="81">
        <f t="shared" si="54"/>
        <v>0.33466899999999999</v>
      </c>
      <c r="S20" s="81">
        <f t="shared" si="54"/>
        <v>0.33885100000000001</v>
      </c>
      <c r="T20" s="81">
        <f t="shared" si="54"/>
        <v>0.30716100000000002</v>
      </c>
      <c r="U20" s="81">
        <f t="shared" si="54"/>
        <v>0.27185300000000001</v>
      </c>
      <c r="V20" s="1289">
        <f t="shared" si="54"/>
        <v>0.311691</v>
      </c>
      <c r="W20" s="81">
        <f t="shared" si="54"/>
        <v>0.33170300000000003</v>
      </c>
      <c r="X20" s="81">
        <f t="shared" si="54"/>
        <v>0.34366200000000002</v>
      </c>
      <c r="Y20" s="81">
        <f t="shared" si="54"/>
        <v>0.28176800000000002</v>
      </c>
      <c r="Z20" s="81">
        <f t="shared" si="54"/>
        <v>0.28163300000000002</v>
      </c>
      <c r="AA20" s="1289">
        <f t="shared" si="54"/>
        <v>0.30727199999999999</v>
      </c>
      <c r="AB20" s="81">
        <f t="shared" si="54"/>
        <v>0.34417300000000001</v>
      </c>
      <c r="AC20" s="81">
        <f t="shared" si="54"/>
        <v>0.34453099999999998</v>
      </c>
      <c r="AD20" s="81">
        <f t="shared" si="54"/>
        <v>0.31951800000000002</v>
      </c>
      <c r="AE20" s="81">
        <f t="shared" si="54"/>
        <v>0.29763800000000001</v>
      </c>
      <c r="AF20" s="1289">
        <f t="shared" si="54"/>
        <v>0.32538499999999998</v>
      </c>
      <c r="AG20" s="81">
        <f t="shared" si="54"/>
        <v>0.34015299999999998</v>
      </c>
      <c r="AH20" s="81">
        <f t="shared" si="54"/>
        <v>0.355</v>
      </c>
      <c r="AI20" s="81">
        <f t="shared" si="54"/>
        <v>0.31206699999999998</v>
      </c>
      <c r="AJ20" s="81">
        <f t="shared" si="54"/>
        <v>0.32846700000000001</v>
      </c>
      <c r="AK20" s="1289">
        <f t="shared" si="54"/>
        <v>0.33268999999999999</v>
      </c>
      <c r="AL20" s="81">
        <f t="shared" si="55" ref="AL20:AQ20">INDEX(MO_UR_OOERatio,0,COLUMN())</f>
        <v>0.34739500000000001</v>
      </c>
      <c r="AM20" s="81">
        <f t="shared" si="55"/>
        <v>0.345439</v>
      </c>
      <c r="AN20" s="81">
        <f t="shared" si="55"/>
        <v>0.29398999999999997</v>
      </c>
      <c r="AO20" s="81">
        <f t="shared" si="55"/>
        <v>0.29433999999999999</v>
      </c>
      <c r="AP20" s="1289">
        <f t="shared" si="55"/>
        <v>0.31868999999999997</v>
      </c>
      <c r="AQ20" s="81">
        <f t="shared" si="55"/>
        <v>0.32395600000000002</v>
      </c>
      <c r="AR20" s="81">
        <f t="shared" si="54"/>
        <v>0.312</v>
      </c>
      <c r="AS20" s="81">
        <f t="shared" si="54"/>
        <v>0.272727</v>
      </c>
      <c r="AT20" s="81">
        <f t="shared" si="54"/>
        <v>0.24793399999999999</v>
      </c>
      <c r="AU20" s="1289">
        <f t="shared" si="54"/>
        <v>0.286269</v>
      </c>
      <c r="AV20" s="81">
        <f t="shared" si="56" ref="AV20:BE20">INDEX(MO_UR_OOERatio,0,COLUMN())</f>
        <v>0.31797199999999998</v>
      </c>
      <c r="AW20" s="81">
        <f t="shared" si="56"/>
        <v>0.31012200000000001</v>
      </c>
      <c r="AX20" s="81">
        <f t="shared" si="56"/>
        <v>0.25183899999999998</v>
      </c>
      <c r="AY20" s="81">
        <f t="shared" si="56"/>
        <v>0.26309300000000002</v>
      </c>
      <c r="AZ20" s="1289">
        <f t="shared" si="56"/>
        <v>0.28233399999999997</v>
      </c>
      <c r="BA20" s="81">
        <f t="shared" si="56"/>
        <v>0.32915800000000001</v>
      </c>
      <c r="BB20" s="81">
        <f t="shared" si="56"/>
        <v>0.32183099999999998</v>
      </c>
      <c r="BC20" s="81">
        <f>INDEX(MO_UR_OOERatio,0,COLUMN())</f>
        <v>0.26792500000000002</v>
      </c>
      <c r="BD20" s="81">
        <f t="shared" si="56"/>
        <v>0.27713599999999999</v>
      </c>
      <c r="BE20" s="1289">
        <f t="shared" si="56"/>
        <v>0.29627900000000001</v>
      </c>
      <c r="BF20" s="81">
        <f t="shared" si="57" ref="BF20:BJ20">INDEX(MO_UR_OOERatio,0,COLUMN())</f>
        <v>0.32535599999999998</v>
      </c>
      <c r="BG20" s="81">
        <f t="shared" si="57"/>
        <v>0.319243</v>
      </c>
      <c r="BH20" s="910">
        <f>INDEX(MO_UR_OOERatio,0,COLUMN())</f>
        <v>0.25206800000000001</v>
      </c>
      <c r="BI20" s="81">
        <f t="shared" si="57"/>
        <v>0.297454</v>
      </c>
      <c r="BJ20" s="1289">
        <f t="shared" si="57"/>
        <v>0.29509800000000003</v>
      </c>
      <c r="BK20" s="81">
        <f t="shared" si="58" ref="BK20:BR20">INDEX(MO_UR_OOERatio,0,COLUMN())</f>
        <v>0.29084300000000002</v>
      </c>
      <c r="BL20" s="81">
        <f t="shared" si="58"/>
        <v>0.28892000000000001</v>
      </c>
      <c r="BM20" s="81">
        <f t="shared" si="58"/>
        <v>0.28733399999999998</v>
      </c>
      <c r="BN20" s="81">
        <f t="shared" si="58"/>
        <v>0.29859200000000002</v>
      </c>
      <c r="BO20" s="1289">
        <f t="shared" si="58"/>
        <v>0.29134399999999999</v>
      </c>
      <c r="BP20" s="1289">
        <f t="shared" si="58"/>
        <v>0.28565200000000002</v>
      </c>
      <c r="BQ20" s="1289">
        <f t="shared" si="58"/>
        <v>0.28093600000000002</v>
      </c>
      <c r="BR20" s="1289">
        <f t="shared" si="58"/>
        <v>0.28171499999999999</v>
      </c>
      <c r="BS20" s="79"/>
    </row>
    <row r="21" spans="1:71" s="709" customFormat="1" ht="15">
      <c r="A21" s="395" t="str">
        <f>INDEX(MO_UR_CombinedRatio,0,COLUMN())</f>
        <v>Total Combined Ratio, %</v>
      </c>
      <c r="B21" s="396"/>
      <c r="C21" s="1290">
        <f t="shared" si="59" ref="C21:AU21">INDEX(MO_UR_CombinedRatio,0,COLUMN())</f>
        <v>0</v>
      </c>
      <c r="D21" s="1290">
        <f t="shared" si="59"/>
        <v>0</v>
      </c>
      <c r="E21" s="1290">
        <f t="shared" si="59"/>
        <v>0.93475900000000001</v>
      </c>
      <c r="F21" s="1290">
        <f t="shared" si="59"/>
        <v>0.96944200000000003</v>
      </c>
      <c r="G21" s="1290">
        <f t="shared" si="59"/>
        <v>0.95474400000000004</v>
      </c>
      <c r="H21" s="398">
        <f t="shared" si="59"/>
        <v>0.92307700000000004</v>
      </c>
      <c r="I21" s="398">
        <f t="shared" si="59"/>
        <v>0.96885100000000002</v>
      </c>
      <c r="J21" s="398">
        <f t="shared" si="59"/>
        <v>0.95936399999999999</v>
      </c>
      <c r="K21" s="398">
        <f t="shared" si="59"/>
        <v>0.92554199999999998</v>
      </c>
      <c r="L21" s="1290">
        <f t="shared" si="59"/>
        <v>0.94533299999999998</v>
      </c>
      <c r="M21" s="398">
        <f t="shared" si="59"/>
        <v>0.93974599999999997</v>
      </c>
      <c r="N21" s="398">
        <f t="shared" si="59"/>
        <v>0.95329900000000001</v>
      </c>
      <c r="O21" s="398">
        <f t="shared" si="59"/>
        <v>0.98977000000000004</v>
      </c>
      <c r="P21" s="398">
        <f t="shared" si="59"/>
        <v>0.91607099999999997</v>
      </c>
      <c r="Q21" s="1290">
        <f t="shared" si="59"/>
        <v>0.95052099999999995</v>
      </c>
      <c r="R21" s="398">
        <f t="shared" si="59"/>
        <v>0.91683400000000004</v>
      </c>
      <c r="S21" s="398">
        <f t="shared" si="59"/>
        <v>1.00779</v>
      </c>
      <c r="T21" s="398">
        <f t="shared" si="59"/>
        <v>0.96721299999999999</v>
      </c>
      <c r="U21" s="398">
        <f t="shared" si="59"/>
        <v>0.90909099999999998</v>
      </c>
      <c r="V21" s="1290">
        <f t="shared" si="59"/>
        <v>0.94986099999999996</v>
      </c>
      <c r="W21" s="398">
        <f t="shared" si="59"/>
        <v>0.927593</v>
      </c>
      <c r="X21" s="398">
        <f t="shared" si="59"/>
        <v>0.93990600000000002</v>
      </c>
      <c r="Y21" s="398">
        <f t="shared" si="59"/>
        <v>1.067088</v>
      </c>
      <c r="Z21" s="398">
        <f t="shared" si="59"/>
        <v>0.86612199999999995</v>
      </c>
      <c r="AA21" s="1290">
        <f t="shared" si="59"/>
        <v>0.95260999999999996</v>
      </c>
      <c r="AB21" s="398">
        <f t="shared" si="59"/>
        <v>0.92321600000000004</v>
      </c>
      <c r="AC21" s="398">
        <f t="shared" si="59"/>
        <v>0.94142999999999999</v>
      </c>
      <c r="AD21" s="398">
        <f t="shared" si="59"/>
        <v>0.97663900000000003</v>
      </c>
      <c r="AE21" s="398">
        <f t="shared" si="59"/>
        <v>0.92519700000000005</v>
      </c>
      <c r="AF21" s="1290">
        <f t="shared" si="59"/>
        <v>0.94265200000000005</v>
      </c>
      <c r="AG21" s="398">
        <f t="shared" si="59"/>
        <v>0.93009399999999998</v>
      </c>
      <c r="AH21" s="398">
        <f t="shared" si="59"/>
        <v>0.9575</v>
      </c>
      <c r="AI21" s="398">
        <f t="shared" si="59"/>
        <v>0.96671300000000004</v>
      </c>
      <c r="AJ21" s="398">
        <f t="shared" si="59"/>
        <v>0.99416099999999996</v>
      </c>
      <c r="AK21" s="1290">
        <f t="shared" si="59"/>
        <v>0.96354899999999999</v>
      </c>
      <c r="AL21" s="398">
        <f t="shared" si="60" ref="AL21:AQ21">INDEX(MO_UR_CombinedRatio,0,COLUMN())</f>
        <v>0.93217499999999998</v>
      </c>
      <c r="AM21" s="398">
        <f t="shared" si="60"/>
        <v>0.99662200000000001</v>
      </c>
      <c r="AN21" s="398">
        <f t="shared" si="60"/>
        <v>0.99131100000000005</v>
      </c>
      <c r="AO21" s="398">
        <f t="shared" si="60"/>
        <v>0.92075499999999999</v>
      </c>
      <c r="AP21" s="1290">
        <f t="shared" si="60"/>
        <v>0.96018800000000004</v>
      </c>
      <c r="AQ21" s="398">
        <f t="shared" si="60"/>
        <v>0.89258300000000002</v>
      </c>
      <c r="AR21" s="398">
        <f t="shared" si="59"/>
        <v>0.88239999999999996</v>
      </c>
      <c r="AS21" s="398">
        <f t="shared" si="59"/>
        <v>0.89600999999999997</v>
      </c>
      <c r="AT21" s="398">
        <f t="shared" si="59"/>
        <v>0.81267199999999995</v>
      </c>
      <c r="AU21" s="1290">
        <f t="shared" si="59"/>
        <v>0.869726</v>
      </c>
      <c r="AV21" s="398">
        <f t="shared" si="61" ref="AV21:BE21">INDEX(MO_UR_CombinedRatio,0,COLUMN())</f>
        <v>0.84946200000000005</v>
      </c>
      <c r="AW21" s="398">
        <f t="shared" si="61"/>
        <v>0.865039</v>
      </c>
      <c r="AX21" s="398">
        <f t="shared" si="61"/>
        <v>0.91567600000000005</v>
      </c>
      <c r="AY21" s="398">
        <f t="shared" si="61"/>
        <v>0.87122599999999994</v>
      </c>
      <c r="AZ21" s="1290">
        <f t="shared" si="61"/>
        <v>0.87806099999999998</v>
      </c>
      <c r="BA21" s="398">
        <f t="shared" si="61"/>
        <v>0.89909499999999998</v>
      </c>
      <c r="BB21" s="398">
        <f t="shared" si="61"/>
        <v>0.92302600000000001</v>
      </c>
      <c r="BC21" s="398">
        <f>INDEX(MO_UR_CombinedRatio,0,COLUMN())</f>
        <v>0.93530999999999997</v>
      </c>
      <c r="BD21" s="398">
        <f t="shared" si="61"/>
        <v>0.88452699999999995</v>
      </c>
      <c r="BE21" s="1290">
        <f t="shared" si="61"/>
        <v>0.91103999999999996</v>
      </c>
      <c r="BF21" s="398">
        <f t="shared" si="62" ref="BF21:BJ21">INDEX(MO_UR_CombinedRatio,0,COLUMN())</f>
        <v>0.91138399999999997</v>
      </c>
      <c r="BG21" s="398">
        <f t="shared" si="62"/>
        <v>0.909779</v>
      </c>
      <c r="BH21" s="911">
        <f>INDEX(MO_UR_CombinedRatio,0,COLUMN())</f>
        <v>0.946959</v>
      </c>
      <c r="BI21" s="398">
        <f t="shared" si="62"/>
        <v>0.898949</v>
      </c>
      <c r="BJ21" s="1290">
        <f t="shared" si="62"/>
        <v>0.91935199999999995</v>
      </c>
      <c r="BK21" s="398">
        <f t="shared" si="63" ref="BK21:BR21">INDEX(MO_UR_CombinedRatio,0,COLUMN())</f>
        <v>0.84422699999999995</v>
      </c>
      <c r="BL21" s="398">
        <f t="shared" si="63"/>
        <v>0.87602599999999997</v>
      </c>
      <c r="BM21" s="398">
        <f t="shared" si="63"/>
        <v>0.87394499999999997</v>
      </c>
      <c r="BN21" s="398">
        <f t="shared" si="63"/>
        <v>0.832619</v>
      </c>
      <c r="BO21" s="1290">
        <f t="shared" si="63"/>
        <v>0.85708499999999999</v>
      </c>
      <c r="BP21" s="1290">
        <f t="shared" si="63"/>
        <v>0.87509300000000001</v>
      </c>
      <c r="BQ21" s="1290">
        <f t="shared" si="63"/>
        <v>0.87315100000000001</v>
      </c>
      <c r="BR21" s="1290">
        <f t="shared" si="63"/>
        <v>0.87299899999999997</v>
      </c>
      <c r="BS21" s="83"/>
    </row>
    <row r="22" spans="1:71" s="707" customFormat="1" ht="15">
      <c r="A22" s="203"/>
      <c r="B22" s="204"/>
      <c r="C22" s="1281"/>
      <c r="D22" s="1281"/>
      <c r="E22" s="1281"/>
      <c r="F22" s="1281"/>
      <c r="G22" s="1281"/>
      <c r="H22" s="335"/>
      <c r="I22" s="335"/>
      <c r="J22" s="335"/>
      <c r="K22" s="335"/>
      <c r="L22" s="1281"/>
      <c r="M22" s="335"/>
      <c r="N22" s="335"/>
      <c r="O22" s="335"/>
      <c r="P22" s="335"/>
      <c r="Q22" s="1281"/>
      <c r="R22" s="335"/>
      <c r="S22" s="335"/>
      <c r="T22" s="335"/>
      <c r="U22" s="335"/>
      <c r="V22" s="1281"/>
      <c r="W22" s="335"/>
      <c r="X22" s="335"/>
      <c r="Y22" s="335"/>
      <c r="Z22" s="335"/>
      <c r="AA22" s="1281"/>
      <c r="AB22" s="335"/>
      <c r="AC22" s="335"/>
      <c r="AD22" s="335"/>
      <c r="AE22" s="335"/>
      <c r="AF22" s="1281"/>
      <c r="AG22" s="335"/>
      <c r="AH22" s="335"/>
      <c r="AI22" s="335"/>
      <c r="AJ22" s="335"/>
      <c r="AK22" s="1281"/>
      <c r="AL22" s="335"/>
      <c r="AM22" s="335"/>
      <c r="AN22" s="335"/>
      <c r="AO22" s="335"/>
      <c r="AP22" s="1281"/>
      <c r="AQ22" s="335"/>
      <c r="AR22" s="335"/>
      <c r="AS22" s="335"/>
      <c r="AT22" s="335"/>
      <c r="AU22" s="1281"/>
      <c r="AV22" s="335"/>
      <c r="AW22" s="335"/>
      <c r="AX22" s="335"/>
      <c r="AY22" s="335"/>
      <c r="AZ22" s="1281"/>
      <c r="BA22" s="335"/>
      <c r="BB22" s="335"/>
      <c r="BC22" s="335"/>
      <c r="BD22" s="335"/>
      <c r="BE22" s="1281"/>
      <c r="BF22" s="335"/>
      <c r="BG22" s="335"/>
      <c r="BH22" s="905"/>
      <c r="BI22" s="77"/>
      <c r="BJ22" s="1282"/>
      <c r="BK22" s="77"/>
      <c r="BL22" s="77"/>
      <c r="BM22" s="77"/>
      <c r="BN22" s="77"/>
      <c r="BO22" s="1282"/>
      <c r="BP22" s="1281"/>
      <c r="BQ22" s="1281"/>
      <c r="BR22" s="1282"/>
      <c r="BS22" s="77"/>
    </row>
    <row r="23" spans="1:71" ht="15">
      <c r="A23" s="70" t="s">
        <v>434</v>
      </c>
      <c r="B23" s="958"/>
      <c r="C23" s="1012"/>
      <c r="D23" s="1012"/>
      <c r="E23" s="1012"/>
      <c r="F23" s="1012"/>
      <c r="G23" s="1012"/>
      <c r="H23" s="1012"/>
      <c r="I23" s="1012"/>
      <c r="J23" s="1012"/>
      <c r="K23" s="1012"/>
      <c r="L23" s="1012"/>
      <c r="M23" s="1012"/>
      <c r="N23" s="1012"/>
      <c r="O23" s="1012"/>
      <c r="P23" s="1012"/>
      <c r="Q23" s="1012"/>
      <c r="R23" s="1012"/>
      <c r="S23" s="1012"/>
      <c r="T23" s="1012"/>
      <c r="U23" s="1012"/>
      <c r="V23" s="1012"/>
      <c r="W23" s="1012"/>
      <c r="X23" s="1012"/>
      <c r="Y23" s="1012"/>
      <c r="Z23" s="1012"/>
      <c r="AA23" s="1012"/>
      <c r="AB23" s="1012"/>
      <c r="AC23" s="1012"/>
      <c r="AD23" s="1012"/>
      <c r="AE23" s="1012"/>
      <c r="AF23" s="1012"/>
      <c r="AG23" s="1012"/>
      <c r="AH23" s="1012"/>
      <c r="AI23" s="1012"/>
      <c r="AJ23" s="1012"/>
      <c r="AK23" s="1012"/>
      <c r="AL23" s="1012"/>
      <c r="AM23" s="1012"/>
      <c r="AN23" s="1012"/>
      <c r="AO23" s="1012"/>
      <c r="AP23" s="1012"/>
      <c r="AQ23" s="1012"/>
      <c r="AR23" s="1012"/>
      <c r="AS23" s="1012"/>
      <c r="AT23" s="1012"/>
      <c r="AU23" s="1012"/>
      <c r="AV23" s="1012"/>
      <c r="AW23" s="1012"/>
      <c r="AX23" s="1012"/>
      <c r="AY23" s="1012"/>
      <c r="AZ23" s="1012"/>
      <c r="BA23" s="1012"/>
      <c r="BB23" s="1012"/>
      <c r="BC23" s="1012"/>
      <c r="BD23" s="1012"/>
      <c r="BE23" s="1012"/>
      <c r="BF23" s="1012"/>
      <c r="BG23" s="1012"/>
      <c r="BH23" s="1013"/>
      <c r="BI23" s="1014"/>
      <c r="BJ23" s="1014"/>
      <c r="BK23" s="1014"/>
      <c r="BL23" s="1014"/>
      <c r="BM23" s="1014"/>
      <c r="BN23" s="1014"/>
      <c r="BO23" s="1014"/>
      <c r="BP23" s="1012"/>
      <c r="BQ23" s="1012"/>
      <c r="BR23" s="1014"/>
      <c r="BS23" s="960"/>
    </row>
    <row r="24" spans="1:71" s="707" customFormat="1" ht="15">
      <c r="A24" s="203" t="str">
        <f>INDEX(MO_II_InvestmentBalance,0,COLUMN())</f>
        <v>Total Investments - Avg. Balance, mm</v>
      </c>
      <c r="B24" s="204"/>
      <c r="C24" s="1281">
        <f t="shared" si="64" ref="C24:AU24">INDEX(MO_II_InvestmentBalance,0,COLUMN())</f>
        <v>0</v>
      </c>
      <c r="D24" s="1281">
        <f t="shared" si="64"/>
        <v>20121</v>
      </c>
      <c r="E24" s="1281">
        <f t="shared" si="64"/>
        <v>22912</v>
      </c>
      <c r="F24" s="1281">
        <f t="shared" si="64"/>
        <v>25498.50</v>
      </c>
      <c r="G24" s="1281">
        <f t="shared" si="64"/>
        <v>28209</v>
      </c>
      <c r="H24" s="335">
        <f t="shared" si="64"/>
        <v>30262.50</v>
      </c>
      <c r="I24" s="335">
        <f t="shared" si="64"/>
        <v>31789</v>
      </c>
      <c r="J24" s="335">
        <f t="shared" si="64"/>
        <v>33284</v>
      </c>
      <c r="K24" s="335">
        <f t="shared" si="64"/>
        <v>34354</v>
      </c>
      <c r="L24" s="1281">
        <f t="shared" si="64"/>
        <v>32404.465753424658</v>
      </c>
      <c r="M24" s="335">
        <f t="shared" si="64"/>
        <v>35519.50</v>
      </c>
      <c r="N24" s="335">
        <f t="shared" si="64"/>
        <v>36300</v>
      </c>
      <c r="O24" s="335">
        <f t="shared" si="64"/>
        <v>36833</v>
      </c>
      <c r="P24" s="335">
        <f t="shared" si="64"/>
        <v>36877</v>
      </c>
      <c r="Q24" s="1281">
        <f t="shared" si="64"/>
        <v>36387.32876712329</v>
      </c>
      <c r="R24" s="335">
        <f t="shared" si="64"/>
        <v>37361</v>
      </c>
      <c r="S24" s="335">
        <f t="shared" si="64"/>
        <v>38648.50</v>
      </c>
      <c r="T24" s="335">
        <f t="shared" si="64"/>
        <v>39628.50</v>
      </c>
      <c r="U24" s="335">
        <f t="shared" si="64"/>
        <v>39746</v>
      </c>
      <c r="V24" s="1281">
        <f t="shared" si="64"/>
        <v>38850.596994535517</v>
      </c>
      <c r="W24" s="335">
        <f t="shared" si="64"/>
        <v>40393</v>
      </c>
      <c r="X24" s="335">
        <f t="shared" si="64"/>
        <v>42016</v>
      </c>
      <c r="Y24" s="335">
        <f t="shared" si="64"/>
        <v>42738</v>
      </c>
      <c r="Z24" s="335">
        <f t="shared" si="64"/>
        <v>43307</v>
      </c>
      <c r="AA24" s="1281">
        <f t="shared" si="64"/>
        <v>42123.19452054795</v>
      </c>
      <c r="AB24" s="335">
        <f t="shared" si="64"/>
        <v>44000</v>
      </c>
      <c r="AC24" s="335">
        <f t="shared" si="64"/>
        <v>44629.50</v>
      </c>
      <c r="AD24" s="335">
        <f t="shared" si="64"/>
        <v>45400.50</v>
      </c>
      <c r="AE24" s="335">
        <f t="shared" si="64"/>
        <v>46407.50</v>
      </c>
      <c r="AF24" s="1281">
        <f t="shared" si="64"/>
        <v>45116.768493150674</v>
      </c>
      <c r="AG24" s="335">
        <f t="shared" si="64"/>
        <v>48011.50</v>
      </c>
      <c r="AH24" s="335">
        <f t="shared" si="64"/>
        <v>49786.50</v>
      </c>
      <c r="AI24" s="335">
        <f t="shared" si="64"/>
        <v>51023.50</v>
      </c>
      <c r="AJ24" s="335">
        <f t="shared" si="64"/>
        <v>52226</v>
      </c>
      <c r="AK24" s="1281">
        <f t="shared" si="64"/>
        <v>50275.508219178082</v>
      </c>
      <c r="AL24" s="335">
        <f t="shared" si="65" ref="AL24:AQ24">INDEX(MO_II_InvestmentBalance,0,COLUMN())</f>
        <v>52243</v>
      </c>
      <c r="AM24" s="335">
        <f t="shared" si="65"/>
        <v>52795.50</v>
      </c>
      <c r="AN24" s="335">
        <f t="shared" si="65"/>
        <v>54191.50</v>
      </c>
      <c r="AO24" s="335">
        <f t="shared" si="65"/>
        <v>52016</v>
      </c>
      <c r="AP24" s="1281">
        <f t="shared" si="65"/>
        <v>52813.096994535517</v>
      </c>
      <c r="AQ24" s="335">
        <f t="shared" si="65"/>
        <v>30950.50</v>
      </c>
      <c r="AR24" s="335">
        <f t="shared" si="64"/>
        <v>12484.50</v>
      </c>
      <c r="AS24" s="335">
        <f t="shared" si="64"/>
        <v>13157</v>
      </c>
      <c r="AT24" s="335">
        <f t="shared" si="64"/>
        <v>13584</v>
      </c>
      <c r="AU24" s="1281">
        <f t="shared" si="64"/>
        <v>17484.401369863015</v>
      </c>
      <c r="AV24" s="335">
        <f t="shared" si="66" ref="AV24:BE24">INDEX(MO_II_InvestmentBalance,0,COLUMN())</f>
        <v>14017</v>
      </c>
      <c r="AW24" s="335">
        <f t="shared" si="66"/>
        <v>13860.50</v>
      </c>
      <c r="AX24" s="335">
        <f t="shared" si="66"/>
        <v>13414.50</v>
      </c>
      <c r="AY24" s="335">
        <f t="shared" si="66"/>
        <v>13584</v>
      </c>
      <c r="AZ24" s="1281">
        <f t="shared" si="66"/>
        <v>13716.979452054793</v>
      </c>
      <c r="BA24" s="335">
        <f t="shared" si="66"/>
        <v>13617</v>
      </c>
      <c r="BB24" s="335">
        <f t="shared" si="66"/>
        <v>13547.50</v>
      </c>
      <c r="BC24" s="335">
        <f>INDEX(MO_II_InvestmentBalance,0,COLUMN())</f>
        <v>13537</v>
      </c>
      <c r="BD24" s="335">
        <f t="shared" si="66"/>
        <v>13805.50</v>
      </c>
      <c r="BE24" s="1281">
        <f t="shared" si="66"/>
        <v>13627.020547945202</v>
      </c>
      <c r="BF24" s="335">
        <f t="shared" si="67" ref="BF24:BJ24">INDEX(MO_II_InvestmentBalance,0,COLUMN())</f>
        <v>14102.50</v>
      </c>
      <c r="BG24" s="335">
        <f t="shared" si="67"/>
        <v>14153.50</v>
      </c>
      <c r="BH24" s="905">
        <f>INDEX(MO_II_InvestmentBalance,0,COLUMN())</f>
        <v>14279.50</v>
      </c>
      <c r="BI24" s="77">
        <f t="shared" si="67"/>
        <v>14218.945000000002</v>
      </c>
      <c r="BJ24" s="1282">
        <f t="shared" si="67"/>
        <v>14188.942459016394</v>
      </c>
      <c r="BK24" s="77">
        <f t="shared" si="68" ref="BK24:BR24">INDEX(MO_II_InvestmentBalance,0,COLUMN())</f>
        <v>14521.425000000001</v>
      </c>
      <c r="BL24" s="77">
        <f t="shared" si="68"/>
        <v>14569.700000000003</v>
      </c>
      <c r="BM24" s="77">
        <f t="shared" si="68"/>
        <v>14698.564999999999</v>
      </c>
      <c r="BN24" s="77">
        <f t="shared" si="68"/>
        <v>14658.271450000002</v>
      </c>
      <c r="BO24" s="1282">
        <f t="shared" si="68"/>
        <v>14612.602475068492</v>
      </c>
      <c r="BP24" s="1281">
        <f t="shared" si="68"/>
        <v>15063.579981814179</v>
      </c>
      <c r="BQ24" s="1281">
        <f t="shared" si="68"/>
        <v>15543.179992492254</v>
      </c>
      <c r="BR24" s="1282">
        <f t="shared" si="68"/>
        <v>16053.181129574323</v>
      </c>
      <c r="BS24" s="77"/>
    </row>
    <row r="25" spans="1:71" s="708" customFormat="1" ht="15">
      <c r="A25" s="205"/>
      <c r="B25" s="206"/>
      <c r="C25" s="1283"/>
      <c r="D25" s="1283"/>
      <c r="E25" s="1283"/>
      <c r="F25" s="1283"/>
      <c r="G25" s="1283"/>
      <c r="H25" s="336"/>
      <c r="I25" s="336"/>
      <c r="J25" s="336"/>
      <c r="K25" s="336"/>
      <c r="L25" s="1283"/>
      <c r="M25" s="336"/>
      <c r="N25" s="336"/>
      <c r="O25" s="336"/>
      <c r="P25" s="336"/>
      <c r="Q25" s="1283"/>
      <c r="R25" s="336"/>
      <c r="S25" s="336"/>
      <c r="T25" s="336"/>
      <c r="U25" s="336"/>
      <c r="V25" s="1283"/>
      <c r="W25" s="336"/>
      <c r="X25" s="336"/>
      <c r="Y25" s="336"/>
      <c r="Z25" s="336"/>
      <c r="AA25" s="1283"/>
      <c r="AB25" s="336"/>
      <c r="AC25" s="336"/>
      <c r="AD25" s="336"/>
      <c r="AE25" s="336"/>
      <c r="AF25" s="1283"/>
      <c r="AG25" s="336"/>
      <c r="AH25" s="336"/>
      <c r="AI25" s="336"/>
      <c r="AJ25" s="336"/>
      <c r="AK25" s="1283"/>
      <c r="AL25" s="336"/>
      <c r="AM25" s="336"/>
      <c r="AN25" s="336"/>
      <c r="AO25" s="336"/>
      <c r="AP25" s="1283"/>
      <c r="AQ25" s="336"/>
      <c r="AR25" s="336"/>
      <c r="AS25" s="336"/>
      <c r="AT25" s="336"/>
      <c r="AU25" s="1283"/>
      <c r="AV25" s="336"/>
      <c r="AW25" s="336"/>
      <c r="AX25" s="336"/>
      <c r="AY25" s="336"/>
      <c r="AZ25" s="1283"/>
      <c r="BA25" s="336"/>
      <c r="BB25" s="336"/>
      <c r="BC25" s="336"/>
      <c r="BD25" s="336"/>
      <c r="BE25" s="1283"/>
      <c r="BF25" s="336"/>
      <c r="BG25" s="336"/>
      <c r="BH25" s="906"/>
      <c r="BI25" s="146"/>
      <c r="BJ25" s="1284"/>
      <c r="BK25" s="146"/>
      <c r="BL25" s="146"/>
      <c r="BM25" s="146"/>
      <c r="BN25" s="146"/>
      <c r="BO25" s="1284"/>
      <c r="BP25" s="1283"/>
      <c r="BQ25" s="1283"/>
      <c r="BR25" s="1284"/>
      <c r="BS25" s="146"/>
    </row>
    <row r="26" spans="1:71" s="707" customFormat="1" ht="15">
      <c r="A26" s="203" t="str">
        <f>INDEX(MO_II_NetII,0,COLUMN())</f>
        <v>Net Investment Income, mm</v>
      </c>
      <c r="B26" s="204"/>
      <c r="C26" s="1281">
        <f t="shared" si="69" ref="C26:AU26">INDEX(MO_II_NetII,0,COLUMN())</f>
        <v>1200</v>
      </c>
      <c r="D26" s="1281">
        <f t="shared" si="69"/>
        <v>1191</v>
      </c>
      <c r="E26" s="1281">
        <f t="shared" si="69"/>
        <v>1241</v>
      </c>
      <c r="F26" s="1281">
        <f t="shared" si="69"/>
        <v>1301</v>
      </c>
      <c r="G26" s="1281">
        <f t="shared" si="69"/>
        <v>1346</v>
      </c>
      <c r="H26" s="335">
        <f t="shared" si="69"/>
        <v>361</v>
      </c>
      <c r="I26" s="335">
        <f t="shared" si="69"/>
        <v>379</v>
      </c>
      <c r="J26" s="335">
        <f t="shared" si="69"/>
        <v>377</v>
      </c>
      <c r="K26" s="335">
        <f t="shared" si="69"/>
        <v>384</v>
      </c>
      <c r="L26" s="1281">
        <f t="shared" si="69"/>
        <v>1501</v>
      </c>
      <c r="M26" s="335">
        <f t="shared" si="69"/>
        <v>388</v>
      </c>
      <c r="N26" s="335">
        <f t="shared" si="69"/>
        <v>404</v>
      </c>
      <c r="O26" s="335">
        <f t="shared" si="69"/>
        <v>425</v>
      </c>
      <c r="P26" s="335">
        <f t="shared" si="69"/>
        <v>416</v>
      </c>
      <c r="Q26" s="1281">
        <f t="shared" si="69"/>
        <v>1633</v>
      </c>
      <c r="R26" s="335">
        <f t="shared" si="69"/>
        <v>411</v>
      </c>
      <c r="S26" s="335">
        <f t="shared" si="69"/>
        <v>423</v>
      </c>
      <c r="T26" s="335">
        <f t="shared" si="69"/>
        <v>433</v>
      </c>
      <c r="U26" s="335">
        <f t="shared" si="69"/>
        <v>429</v>
      </c>
      <c r="V26" s="1281">
        <f t="shared" si="69"/>
        <v>1696</v>
      </c>
      <c r="W26" s="335">
        <f t="shared" si="69"/>
        <v>435</v>
      </c>
      <c r="X26" s="335">
        <f t="shared" si="69"/>
        <v>460</v>
      </c>
      <c r="Y26" s="335">
        <f t="shared" si="69"/>
        <v>471</v>
      </c>
      <c r="Z26" s="335">
        <f t="shared" si="69"/>
        <v>465</v>
      </c>
      <c r="AA26" s="1281">
        <f t="shared" si="69"/>
        <v>1831</v>
      </c>
      <c r="AB26" s="335">
        <f t="shared" si="69"/>
        <v>495</v>
      </c>
      <c r="AC26" s="335">
        <f t="shared" si="69"/>
        <v>530</v>
      </c>
      <c r="AD26" s="335">
        <f t="shared" si="69"/>
        <v>527</v>
      </c>
      <c r="AE26" s="335">
        <f t="shared" si="69"/>
        <v>542</v>
      </c>
      <c r="AF26" s="1281">
        <f t="shared" si="69"/>
        <v>2094</v>
      </c>
      <c r="AG26" s="335">
        <f t="shared" si="69"/>
        <v>542</v>
      </c>
      <c r="AH26" s="335">
        <f t="shared" si="69"/>
        <v>580</v>
      </c>
      <c r="AI26" s="335">
        <f t="shared" si="69"/>
        <v>588</v>
      </c>
      <c r="AJ26" s="335">
        <f t="shared" si="69"/>
        <v>593</v>
      </c>
      <c r="AK26" s="1281">
        <f t="shared" si="69"/>
        <v>2303</v>
      </c>
      <c r="AL26" s="335">
        <f t="shared" si="70" ref="AL26:AQ26">INDEX(MO_II_NetII,0,COLUMN())</f>
        <v>104</v>
      </c>
      <c r="AM26" s="335">
        <f t="shared" si="70"/>
        <v>88</v>
      </c>
      <c r="AN26" s="335">
        <f t="shared" si="70"/>
        <v>122</v>
      </c>
      <c r="AO26" s="335">
        <f t="shared" si="70"/>
        <v>147</v>
      </c>
      <c r="AP26" s="1281">
        <f t="shared" si="70"/>
        <v>461</v>
      </c>
      <c r="AQ26" s="335">
        <f t="shared" si="70"/>
        <v>188</v>
      </c>
      <c r="AR26" s="335">
        <f t="shared" si="69"/>
        <v>164</v>
      </c>
      <c r="AS26" s="335">
        <f t="shared" si="69"/>
        <v>169</v>
      </c>
      <c r="AT26" s="335">
        <f t="shared" si="69"/>
        <v>209</v>
      </c>
      <c r="AU26" s="1281">
        <f t="shared" si="69"/>
        <v>730</v>
      </c>
      <c r="AV26" s="335">
        <f t="shared" si="71" ref="AV26:BE26">INDEX(MO_II_NetII,0,COLUMN())</f>
        <v>230</v>
      </c>
      <c r="AW26" s="335">
        <f t="shared" si="71"/>
        <v>168</v>
      </c>
      <c r="AX26" s="335">
        <f t="shared" si="71"/>
        <v>151</v>
      </c>
      <c r="AY26" s="335">
        <f t="shared" si="71"/>
        <v>168</v>
      </c>
      <c r="AZ26" s="1281">
        <f t="shared" si="71"/>
        <v>717</v>
      </c>
      <c r="BA26" s="335">
        <f t="shared" si="71"/>
        <v>217</v>
      </c>
      <c r="BB26" s="335">
        <f t="shared" si="71"/>
        <v>198</v>
      </c>
      <c r="BC26" s="335">
        <f>INDEX(MO_II_NetII,0,COLUMN())</f>
        <v>168</v>
      </c>
      <c r="BD26" s="335">
        <f t="shared" si="71"/>
        <v>159</v>
      </c>
      <c r="BE26" s="1281">
        <f t="shared" si="71"/>
        <v>742</v>
      </c>
      <c r="BF26" s="335">
        <f t="shared" si="72" ref="BF26:BJ26">INDEX(MO_II_NetII,0,COLUMN())</f>
        <v>198</v>
      </c>
      <c r="BG26" s="335">
        <f t="shared" si="72"/>
        <v>188</v>
      </c>
      <c r="BH26" s="905">
        <f>INDEX(MO_II_NetII,0,COLUMN())</f>
        <v>200</v>
      </c>
      <c r="BI26" s="77">
        <f t="shared" si="72"/>
        <v>194.23712923497268</v>
      </c>
      <c r="BJ26" s="1282">
        <f t="shared" si="72"/>
        <v>780.23712923497271</v>
      </c>
      <c r="BK26" s="77">
        <f t="shared" si="73" ref="BK26:BR26">INDEX(MO_II_NetII,0,COLUMN())</f>
        <v>194.8707311232877</v>
      </c>
      <c r="BL26" s="77">
        <f t="shared" si="73"/>
        <v>199.13215263287671</v>
      </c>
      <c r="BM26" s="77">
        <f t="shared" si="73"/>
        <v>203.70026183013698</v>
      </c>
      <c r="BN26" s="77">
        <f t="shared" si="73"/>
        <v>200.28270518904114</v>
      </c>
      <c r="BO26" s="1282">
        <f t="shared" si="73"/>
        <v>797.98585077534244</v>
      </c>
      <c r="BP26" s="1281">
        <f t="shared" si="73"/>
        <v>820.34143321931174</v>
      </c>
      <c r="BQ26" s="1281">
        <f t="shared" si="73"/>
        <v>844.57406373145443</v>
      </c>
      <c r="BR26" s="1282">
        <f t="shared" si="73"/>
        <v>870.81034001777346</v>
      </c>
      <c r="BS26" s="77"/>
    </row>
    <row r="27" spans="1:71" s="708" customFormat="1" ht="15">
      <c r="A27" s="205"/>
      <c r="B27" s="206"/>
      <c r="C27" s="1283"/>
      <c r="D27" s="1283"/>
      <c r="E27" s="1283"/>
      <c r="F27" s="1283"/>
      <c r="G27" s="1283"/>
      <c r="H27" s="336"/>
      <c r="I27" s="336"/>
      <c r="J27" s="336"/>
      <c r="K27" s="336"/>
      <c r="L27" s="1283"/>
      <c r="M27" s="336"/>
      <c r="N27" s="336"/>
      <c r="O27" s="336"/>
      <c r="P27" s="336"/>
      <c r="Q27" s="1283"/>
      <c r="R27" s="336"/>
      <c r="S27" s="336"/>
      <c r="T27" s="336"/>
      <c r="U27" s="336"/>
      <c r="V27" s="1283"/>
      <c r="W27" s="336"/>
      <c r="X27" s="336"/>
      <c r="Y27" s="336"/>
      <c r="Z27" s="336"/>
      <c r="AA27" s="1283"/>
      <c r="AB27" s="336"/>
      <c r="AC27" s="336"/>
      <c r="AD27" s="336"/>
      <c r="AE27" s="336"/>
      <c r="AF27" s="1283"/>
      <c r="AG27" s="336"/>
      <c r="AH27" s="336"/>
      <c r="AI27" s="336"/>
      <c r="AJ27" s="336"/>
      <c r="AK27" s="1283"/>
      <c r="AL27" s="336"/>
      <c r="AM27" s="336"/>
      <c r="AN27" s="336"/>
      <c r="AO27" s="336"/>
      <c r="AP27" s="1283"/>
      <c r="AQ27" s="336"/>
      <c r="AR27" s="336"/>
      <c r="AS27" s="336"/>
      <c r="AT27" s="336"/>
      <c r="AU27" s="1283"/>
      <c r="AV27" s="336"/>
      <c r="AW27" s="336"/>
      <c r="AX27" s="336"/>
      <c r="AY27" s="336"/>
      <c r="AZ27" s="1283"/>
      <c r="BA27" s="336"/>
      <c r="BB27" s="336"/>
      <c r="BC27" s="336"/>
      <c r="BD27" s="336"/>
      <c r="BE27" s="1283"/>
      <c r="BF27" s="336"/>
      <c r="BG27" s="336"/>
      <c r="BH27" s="906"/>
      <c r="BI27" s="146"/>
      <c r="BJ27" s="1284"/>
      <c r="BK27" s="146"/>
      <c r="BL27" s="146"/>
      <c r="BM27" s="146"/>
      <c r="BN27" s="146"/>
      <c r="BO27" s="1284"/>
      <c r="BP27" s="1283"/>
      <c r="BQ27" s="1283"/>
      <c r="BR27" s="1284"/>
      <c r="BS27" s="146"/>
    </row>
    <row r="28" spans="1:71" s="707" customFormat="1" ht="15">
      <c r="A28" s="203" t="str">
        <f>INDEX(MO_II_NetIG,0,COLUMN())</f>
        <v>Net Investment Gains, mm</v>
      </c>
      <c r="B28" s="204"/>
      <c r="C28" s="1281">
        <f t="shared" si="74" ref="C28:AU28">INDEX(MO_II_NetIG,0,COLUMN())</f>
        <v>38</v>
      </c>
      <c r="D28" s="1281">
        <f t="shared" si="74"/>
        <v>88</v>
      </c>
      <c r="E28" s="1281">
        <f t="shared" si="74"/>
        <v>73</v>
      </c>
      <c r="F28" s="1281">
        <f t="shared" si="74"/>
        <v>371</v>
      </c>
      <c r="G28" s="1281">
        <f t="shared" si="74"/>
        <v>217</v>
      </c>
      <c r="H28" s="335">
        <f t="shared" si="74"/>
        <v>19</v>
      </c>
      <c r="I28" s="335">
        <f t="shared" si="74"/>
        <v>12</v>
      </c>
      <c r="J28" s="335">
        <f t="shared" si="74"/>
        <v>13</v>
      </c>
      <c r="K28" s="335">
        <f t="shared" si="74"/>
        <v>8</v>
      </c>
      <c r="L28" s="1281">
        <f t="shared" si="74"/>
        <v>52</v>
      </c>
      <c r="M28" s="335">
        <f t="shared" si="74"/>
        <v>-143</v>
      </c>
      <c r="N28" s="335">
        <f t="shared" si="74"/>
        <v>-1</v>
      </c>
      <c r="O28" s="335">
        <f t="shared" si="74"/>
        <v>-11</v>
      </c>
      <c r="P28" s="335">
        <f t="shared" si="74"/>
        <v>-25</v>
      </c>
      <c r="Q28" s="1281">
        <f t="shared" si="74"/>
        <v>-180</v>
      </c>
      <c r="R28" s="335">
        <f t="shared" si="74"/>
        <v>-18</v>
      </c>
      <c r="S28" s="335">
        <f t="shared" si="74"/>
        <v>-14</v>
      </c>
      <c r="T28" s="335">
        <f t="shared" si="74"/>
        <v>2</v>
      </c>
      <c r="U28" s="335">
        <f t="shared" si="74"/>
        <v>51</v>
      </c>
      <c r="V28" s="1281">
        <f t="shared" si="74"/>
        <v>21</v>
      </c>
      <c r="W28" s="335">
        <f t="shared" si="74"/>
        <v>3</v>
      </c>
      <c r="X28" s="335">
        <f t="shared" si="74"/>
        <v>8</v>
      </c>
      <c r="Y28" s="335">
        <f t="shared" si="74"/>
        <v>-12</v>
      </c>
      <c r="Z28" s="335">
        <f t="shared" si="74"/>
        <v>6</v>
      </c>
      <c r="AA28" s="1281">
        <f t="shared" si="74"/>
        <v>5</v>
      </c>
      <c r="AB28" s="335">
        <f t="shared" si="74"/>
        <v>-93</v>
      </c>
      <c r="AC28" s="335">
        <f t="shared" si="74"/>
        <v>31</v>
      </c>
      <c r="AD28" s="335">
        <f t="shared" si="74"/>
        <v>34</v>
      </c>
      <c r="AE28" s="335">
        <f t="shared" si="74"/>
        <v>-238</v>
      </c>
      <c r="AF28" s="1281">
        <f t="shared" si="74"/>
        <v>-266</v>
      </c>
      <c r="AG28" s="335">
        <f t="shared" si="74"/>
        <v>184</v>
      </c>
      <c r="AH28" s="335">
        <f t="shared" si="74"/>
        <v>56</v>
      </c>
      <c r="AI28" s="335">
        <f t="shared" si="74"/>
        <v>-18</v>
      </c>
      <c r="AJ28" s="335">
        <f t="shared" si="74"/>
        <v>65</v>
      </c>
      <c r="AK28" s="1281">
        <f t="shared" si="74"/>
        <v>287</v>
      </c>
      <c r="AL28" s="335">
        <f t="shared" si="75" ref="AL28:AQ28">INDEX(MO_II_NetIG,0,COLUMN())</f>
        <v>-328</v>
      </c>
      <c r="AM28" s="335">
        <f t="shared" si="75"/>
        <v>108</v>
      </c>
      <c r="AN28" s="335">
        <f t="shared" si="75"/>
        <v>-7</v>
      </c>
      <c r="AO28" s="335">
        <f t="shared" si="75"/>
        <v>175</v>
      </c>
      <c r="AP28" s="1281">
        <f t="shared" si="75"/>
        <v>-52</v>
      </c>
      <c r="AQ28" s="335">
        <f t="shared" si="75"/>
        <v>77</v>
      </c>
      <c r="AR28" s="335">
        <f t="shared" si="74"/>
        <v>47</v>
      </c>
      <c r="AS28" s="335">
        <f t="shared" si="74"/>
        <v>-17</v>
      </c>
      <c r="AT28" s="335">
        <f t="shared" si="74"/>
        <v>7</v>
      </c>
      <c r="AU28" s="1281">
        <f t="shared" si="74"/>
        <v>114</v>
      </c>
      <c r="AV28" s="335">
        <f t="shared" si="76" ref="AV28:BE28">INDEX(MO_II_NetIG,0,COLUMN())</f>
        <v>-15</v>
      </c>
      <c r="AW28" s="335">
        <f t="shared" si="76"/>
        <v>-93</v>
      </c>
      <c r="AX28" s="335">
        <f t="shared" si="76"/>
        <v>-35</v>
      </c>
      <c r="AY28" s="335">
        <f t="shared" si="76"/>
        <v>27</v>
      </c>
      <c r="AZ28" s="1281">
        <f t="shared" si="76"/>
        <v>-116</v>
      </c>
      <c r="BA28" s="335">
        <f t="shared" si="76"/>
        <v>-46</v>
      </c>
      <c r="BB28" s="335">
        <f t="shared" si="76"/>
        <v>-2</v>
      </c>
      <c r="BC28" s="335">
        <f>INDEX(MO_II_NetIG,0,COLUMN())</f>
        <v>-23</v>
      </c>
      <c r="BD28" s="335">
        <f t="shared" si="76"/>
        <v>31</v>
      </c>
      <c r="BE28" s="1281">
        <f t="shared" si="76"/>
        <v>-40</v>
      </c>
      <c r="BF28" s="335">
        <f t="shared" si="77" ref="BF28:BJ28">INDEX(MO_II_NetIG,0,COLUMN())</f>
        <v>14</v>
      </c>
      <c r="BG28" s="335">
        <f t="shared" si="77"/>
        <v>-2</v>
      </c>
      <c r="BH28" s="905">
        <f>INDEX(MO_II_NetIG,0,COLUMN())</f>
        <v>-2</v>
      </c>
      <c r="BI28" s="77">
        <f t="shared" si="77"/>
        <v>50</v>
      </c>
      <c r="BJ28" s="1282">
        <f t="shared" si="77"/>
        <v>60</v>
      </c>
      <c r="BK28" s="77">
        <f t="shared" si="78" ref="BK28:BR28">INDEX(MO_II_NetIG,0,COLUMN())</f>
        <v>35</v>
      </c>
      <c r="BL28" s="77">
        <f t="shared" si="78"/>
        <v>35</v>
      </c>
      <c r="BM28" s="77">
        <f t="shared" si="78"/>
        <v>35</v>
      </c>
      <c r="BN28" s="77">
        <f t="shared" si="78"/>
        <v>50</v>
      </c>
      <c r="BO28" s="1282">
        <f t="shared" si="78"/>
        <v>155</v>
      </c>
      <c r="BP28" s="1281">
        <f t="shared" si="78"/>
        <v>140</v>
      </c>
      <c r="BQ28" s="1281">
        <f t="shared" si="78"/>
        <v>140</v>
      </c>
      <c r="BR28" s="1282">
        <f t="shared" si="78"/>
        <v>140</v>
      </c>
      <c r="BS28" s="77"/>
    </row>
    <row r="29" spans="1:71" s="709" customFormat="1" ht="15">
      <c r="A29" s="214"/>
      <c r="B29" s="215"/>
      <c r="C29" s="1291"/>
      <c r="D29" s="1291"/>
      <c r="E29" s="1291"/>
      <c r="F29" s="1291"/>
      <c r="G29" s="1291"/>
      <c r="H29" s="338"/>
      <c r="I29" s="338"/>
      <c r="J29" s="338"/>
      <c r="K29" s="338"/>
      <c r="L29" s="1291"/>
      <c r="M29" s="338"/>
      <c r="N29" s="338"/>
      <c r="O29" s="338"/>
      <c r="P29" s="338"/>
      <c r="Q29" s="1291"/>
      <c r="R29" s="338"/>
      <c r="S29" s="338"/>
      <c r="T29" s="338"/>
      <c r="U29" s="338"/>
      <c r="V29" s="1291"/>
      <c r="W29" s="338"/>
      <c r="X29" s="338"/>
      <c r="Y29" s="338"/>
      <c r="Z29" s="338"/>
      <c r="AA29" s="1291"/>
      <c r="AB29" s="338"/>
      <c r="AC29" s="338"/>
      <c r="AD29" s="338"/>
      <c r="AE29" s="338"/>
      <c r="AF29" s="1291"/>
      <c r="AG29" s="338"/>
      <c r="AH29" s="338"/>
      <c r="AI29" s="338"/>
      <c r="AJ29" s="338"/>
      <c r="AK29" s="1291"/>
      <c r="AL29" s="338"/>
      <c r="AM29" s="338"/>
      <c r="AN29" s="338"/>
      <c r="AO29" s="338"/>
      <c r="AP29" s="1291"/>
      <c r="AQ29" s="338"/>
      <c r="AR29" s="338"/>
      <c r="AS29" s="338"/>
      <c r="AT29" s="338"/>
      <c r="AU29" s="1291"/>
      <c r="AV29" s="338"/>
      <c r="AW29" s="338"/>
      <c r="AX29" s="338"/>
      <c r="AY29" s="338"/>
      <c r="AZ29" s="1291"/>
      <c r="BA29" s="338"/>
      <c r="BB29" s="338"/>
      <c r="BC29" s="338"/>
      <c r="BD29" s="338"/>
      <c r="BE29" s="1291"/>
      <c r="BF29" s="338"/>
      <c r="BG29" s="338"/>
      <c r="BH29" s="912"/>
      <c r="BI29" s="83"/>
      <c r="BJ29" s="1292"/>
      <c r="BK29" s="83"/>
      <c r="BL29" s="83"/>
      <c r="BM29" s="83"/>
      <c r="BN29" s="83"/>
      <c r="BO29" s="1292"/>
      <c r="BP29" s="1291"/>
      <c r="BQ29" s="1291"/>
      <c r="BR29" s="1292"/>
      <c r="BS29" s="83"/>
    </row>
    <row r="30" spans="1:71" ht="15">
      <c r="A30" s="70" t="s">
        <v>435</v>
      </c>
      <c r="B30" s="958"/>
      <c r="C30" s="1012"/>
      <c r="D30" s="1012"/>
      <c r="E30" s="1012"/>
      <c r="F30" s="1012"/>
      <c r="G30" s="1012"/>
      <c r="H30" s="1012"/>
      <c r="I30" s="1012"/>
      <c r="J30" s="1012"/>
      <c r="K30" s="1012"/>
      <c r="L30" s="1012"/>
      <c r="M30" s="1012"/>
      <c r="N30" s="1012"/>
      <c r="O30" s="1012"/>
      <c r="P30" s="1012"/>
      <c r="Q30" s="1012"/>
      <c r="R30" s="1012"/>
      <c r="S30" s="1012"/>
      <c r="T30" s="1012"/>
      <c r="U30" s="1012"/>
      <c r="V30" s="1012"/>
      <c r="W30" s="1012"/>
      <c r="X30" s="1012"/>
      <c r="Y30" s="1012"/>
      <c r="Z30" s="1012"/>
      <c r="AA30" s="1012"/>
      <c r="AB30" s="1012"/>
      <c r="AC30" s="1012"/>
      <c r="AD30" s="1012"/>
      <c r="AE30" s="1012"/>
      <c r="AF30" s="1012"/>
      <c r="AG30" s="1012"/>
      <c r="AH30" s="1012"/>
      <c r="AI30" s="1012"/>
      <c r="AJ30" s="1012"/>
      <c r="AK30" s="1012"/>
      <c r="AL30" s="1012"/>
      <c r="AM30" s="1012"/>
      <c r="AN30" s="1012"/>
      <c r="AO30" s="1012"/>
      <c r="AP30" s="1012"/>
      <c r="AQ30" s="1012"/>
      <c r="AR30" s="1012"/>
      <c r="AS30" s="1012"/>
      <c r="AT30" s="1012"/>
      <c r="AU30" s="1012"/>
      <c r="AV30" s="1012"/>
      <c r="AW30" s="1012"/>
      <c r="AX30" s="1012"/>
      <c r="AY30" s="1012"/>
      <c r="AZ30" s="1012"/>
      <c r="BA30" s="1012"/>
      <c r="BB30" s="1012"/>
      <c r="BC30" s="1012"/>
      <c r="BD30" s="1012"/>
      <c r="BE30" s="1012"/>
      <c r="BF30" s="1012"/>
      <c r="BG30" s="1012"/>
      <c r="BH30" s="1013"/>
      <c r="BI30" s="1014"/>
      <c r="BJ30" s="1014"/>
      <c r="BK30" s="1014"/>
      <c r="BL30" s="1014"/>
      <c r="BM30" s="1014"/>
      <c r="BN30" s="1014"/>
      <c r="BO30" s="1014"/>
      <c r="BP30" s="1012"/>
      <c r="BQ30" s="1012"/>
      <c r="BR30" s="1014"/>
      <c r="BS30" s="960"/>
    </row>
    <row r="31" spans="1:71" s="708" customFormat="1" ht="15">
      <c r="A31" s="205" t="str">
        <f>INDEX(MO_RIS_NEP,0,COLUMN())</f>
        <v>Net Earned Premiums</v>
      </c>
      <c r="B31" s="206"/>
      <c r="C31" s="1283">
        <f t="shared" si="79" ref="C31:AU31">INDEX(MO_RIS_NEP,0,COLUMN())</f>
        <v>2856</v>
      </c>
      <c r="D31" s="1283">
        <f t="shared" si="79"/>
        <v>3001</v>
      </c>
      <c r="E31" s="1283">
        <f t="shared" si="79"/>
        <v>3189</v>
      </c>
      <c r="F31" s="1283">
        <f t="shared" si="79"/>
        <v>3165</v>
      </c>
      <c r="G31" s="1283">
        <f t="shared" si="79"/>
        <v>3318</v>
      </c>
      <c r="H31" s="336">
        <f t="shared" si="79"/>
        <v>782</v>
      </c>
      <c r="I31" s="336">
        <f t="shared" si="79"/>
        <v>958</v>
      </c>
      <c r="J31" s="336">
        <f t="shared" si="79"/>
        <v>1159</v>
      </c>
      <c r="K31" s="336">
        <f t="shared" si="79"/>
        <v>1087</v>
      </c>
      <c r="L31" s="1283">
        <f t="shared" si="79"/>
        <v>3986</v>
      </c>
      <c r="M31" s="336">
        <f t="shared" si="79"/>
        <v>971</v>
      </c>
      <c r="N31" s="336">
        <f t="shared" si="79"/>
        <v>1012</v>
      </c>
      <c r="O31" s="336">
        <f t="shared" si="79"/>
        <v>1201</v>
      </c>
      <c r="P31" s="336">
        <f t="shared" si="79"/>
        <v>1144</v>
      </c>
      <c r="Q31" s="1283">
        <f t="shared" si="79"/>
        <v>4328</v>
      </c>
      <c r="R31" s="336">
        <f t="shared" si="79"/>
        <v>1004</v>
      </c>
      <c r="S31" s="336">
        <f t="shared" si="79"/>
        <v>1033</v>
      </c>
      <c r="T31" s="336">
        <f t="shared" si="79"/>
        <v>1165</v>
      </c>
      <c r="U31" s="336">
        <f t="shared" si="79"/>
        <v>1150</v>
      </c>
      <c r="V31" s="1283">
        <f t="shared" si="79"/>
        <v>4352</v>
      </c>
      <c r="W31" s="336">
        <f t="shared" si="79"/>
        <v>1028</v>
      </c>
      <c r="X31" s="336">
        <f t="shared" si="79"/>
        <v>1070</v>
      </c>
      <c r="Y31" s="336">
        <f t="shared" si="79"/>
        <v>1273</v>
      </c>
      <c r="Z31" s="336">
        <f t="shared" si="79"/>
        <v>1230</v>
      </c>
      <c r="AA31" s="1283">
        <f t="shared" si="79"/>
        <v>4601</v>
      </c>
      <c r="AB31" s="336">
        <f t="shared" si="79"/>
        <v>1113</v>
      </c>
      <c r="AC31" s="336">
        <f t="shared" si="79"/>
        <v>1167</v>
      </c>
      <c r="AD31" s="336">
        <f t="shared" si="79"/>
        <v>1333</v>
      </c>
      <c r="AE31" s="336">
        <f t="shared" si="79"/>
        <v>1276</v>
      </c>
      <c r="AF31" s="1283">
        <f t="shared" si="79"/>
        <v>4889</v>
      </c>
      <c r="AG31" s="336">
        <f t="shared" si="79"/>
        <v>1179</v>
      </c>
      <c r="AH31" s="336">
        <f t="shared" si="79"/>
        <v>1205</v>
      </c>
      <c r="AI31" s="336">
        <f t="shared" si="79"/>
        <v>1448</v>
      </c>
      <c r="AJ31" s="336">
        <f t="shared" si="79"/>
        <v>1375</v>
      </c>
      <c r="AK31" s="1283">
        <f t="shared" si="79"/>
        <v>5207</v>
      </c>
      <c r="AL31" s="336">
        <f t="shared" si="80" ref="AL31:AQ31">INDEX(MO_RIS_NEP,0,COLUMN())</f>
        <v>1209</v>
      </c>
      <c r="AM31" s="336">
        <f t="shared" si="80"/>
        <v>1184</v>
      </c>
      <c r="AN31" s="336">
        <f t="shared" si="80"/>
        <v>1381</v>
      </c>
      <c r="AO31" s="336">
        <f t="shared" si="80"/>
        <v>1325</v>
      </c>
      <c r="AP31" s="1283">
        <f t="shared" si="80"/>
        <v>5099</v>
      </c>
      <c r="AQ31" s="336">
        <f t="shared" si="80"/>
        <v>1173</v>
      </c>
      <c r="AR31" s="336">
        <f t="shared" si="79"/>
        <v>1250</v>
      </c>
      <c r="AS31" s="336">
        <f t="shared" si="79"/>
        <v>1529</v>
      </c>
      <c r="AT31" s="336">
        <f t="shared" si="79"/>
        <v>1452</v>
      </c>
      <c r="AU31" s="1283">
        <f t="shared" si="79"/>
        <v>5404</v>
      </c>
      <c r="AV31" s="336">
        <f t="shared" si="81" ref="AV31:BE31">INDEX(MO_RIS_NEP,0,COLUMN())</f>
        <v>1302</v>
      </c>
      <c r="AW31" s="336">
        <f t="shared" si="81"/>
        <v>1393</v>
      </c>
      <c r="AX31" s="336">
        <f t="shared" si="81"/>
        <v>1767</v>
      </c>
      <c r="AY31" s="336">
        <f t="shared" si="81"/>
        <v>1623</v>
      </c>
      <c r="AZ31" s="1283">
        <f t="shared" si="81"/>
        <v>6085</v>
      </c>
      <c r="BA31" s="336">
        <f t="shared" si="81"/>
        <v>1437</v>
      </c>
      <c r="BB31" s="336">
        <f t="shared" si="81"/>
        <v>1507</v>
      </c>
      <c r="BC31" s="336">
        <f>INDEX(MO_RIS_NEP,0,COLUMN())</f>
        <v>1855</v>
      </c>
      <c r="BD31" s="336">
        <f t="shared" si="81"/>
        <v>1732</v>
      </c>
      <c r="BE31" s="1283">
        <f t="shared" si="81"/>
        <v>6531</v>
      </c>
      <c r="BF31" s="336">
        <f t="shared" si="82" ref="BF31:BJ31">INDEX(MO_RIS_NEP,0,COLUMN())</f>
        <v>1546</v>
      </c>
      <c r="BG31" s="336">
        <f t="shared" si="82"/>
        <v>1585</v>
      </c>
      <c r="BH31" s="906">
        <f>INDEX(MO_RIS_NEP,0,COLUMN())</f>
        <v>2055</v>
      </c>
      <c r="BI31" s="146">
        <f t="shared" si="82"/>
        <v>1433.2635999999998</v>
      </c>
      <c r="BJ31" s="1284">
        <f t="shared" si="82"/>
        <v>6619.2636000000002</v>
      </c>
      <c r="BK31" s="146">
        <f t="shared" si="83" ref="BK31:BR31">INDEX(MO_RIS_NEP,0,COLUMN())</f>
        <v>1534.7327150000001</v>
      </c>
      <c r="BL31" s="146">
        <f t="shared" si="83"/>
        <v>1549.1004500000001</v>
      </c>
      <c r="BM31" s="146">
        <f t="shared" si="83"/>
        <v>1701.5284800000002</v>
      </c>
      <c r="BN31" s="146">
        <f t="shared" si="83"/>
        <v>1565.3297049999996</v>
      </c>
      <c r="BO31" s="1284">
        <f t="shared" si="83"/>
        <v>6350.6913499999991</v>
      </c>
      <c r="BP31" s="1283">
        <f t="shared" si="83"/>
        <v>7176.3899206349997</v>
      </c>
      <c r="BQ31" s="1283">
        <f t="shared" si="83"/>
        <v>9312.2284993391986</v>
      </c>
      <c r="BR31" s="1284">
        <f t="shared" si="83"/>
        <v>9811.1273938486429</v>
      </c>
      <c r="BS31" s="146"/>
    </row>
    <row r="32" spans="1:71" s="708" customFormat="1" ht="15">
      <c r="A32" s="205" t="str">
        <f>INDEX(MO_RIS_NetII,0,COLUMN())</f>
        <v>Net Investment Income</v>
      </c>
      <c r="B32" s="206"/>
      <c r="C32" s="1283">
        <f t="shared" si="84" ref="C32:AU32">INDEX(MO_RIS_NetII,0,COLUMN())</f>
        <v>1200</v>
      </c>
      <c r="D32" s="1283">
        <f t="shared" si="84"/>
        <v>1191</v>
      </c>
      <c r="E32" s="1283">
        <f t="shared" si="84"/>
        <v>1241</v>
      </c>
      <c r="F32" s="1283">
        <f t="shared" si="84"/>
        <v>1301</v>
      </c>
      <c r="G32" s="1283">
        <f t="shared" si="84"/>
        <v>1346</v>
      </c>
      <c r="H32" s="336">
        <f t="shared" si="84"/>
        <v>361</v>
      </c>
      <c r="I32" s="336">
        <f t="shared" si="84"/>
        <v>379</v>
      </c>
      <c r="J32" s="336">
        <f t="shared" si="84"/>
        <v>377</v>
      </c>
      <c r="K32" s="336">
        <f t="shared" si="84"/>
        <v>384</v>
      </c>
      <c r="L32" s="1283">
        <f t="shared" si="84"/>
        <v>1501</v>
      </c>
      <c r="M32" s="336">
        <f t="shared" si="84"/>
        <v>388</v>
      </c>
      <c r="N32" s="336">
        <f t="shared" si="84"/>
        <v>404</v>
      </c>
      <c r="O32" s="336">
        <f t="shared" si="84"/>
        <v>425</v>
      </c>
      <c r="P32" s="336">
        <f t="shared" si="84"/>
        <v>416</v>
      </c>
      <c r="Q32" s="1283">
        <f t="shared" si="84"/>
        <v>1633</v>
      </c>
      <c r="R32" s="336">
        <f t="shared" si="84"/>
        <v>411</v>
      </c>
      <c r="S32" s="336">
        <f t="shared" si="84"/>
        <v>423</v>
      </c>
      <c r="T32" s="336">
        <f t="shared" si="84"/>
        <v>433</v>
      </c>
      <c r="U32" s="336">
        <f t="shared" si="84"/>
        <v>429</v>
      </c>
      <c r="V32" s="1283">
        <f t="shared" si="84"/>
        <v>1696</v>
      </c>
      <c r="W32" s="336">
        <f t="shared" si="84"/>
        <v>435</v>
      </c>
      <c r="X32" s="336">
        <f t="shared" si="84"/>
        <v>460</v>
      </c>
      <c r="Y32" s="336">
        <f t="shared" si="84"/>
        <v>471</v>
      </c>
      <c r="Z32" s="336">
        <f t="shared" si="84"/>
        <v>465</v>
      </c>
      <c r="AA32" s="1283">
        <f t="shared" si="84"/>
        <v>1831</v>
      </c>
      <c r="AB32" s="336">
        <f t="shared" si="84"/>
        <v>495</v>
      </c>
      <c r="AC32" s="336">
        <f t="shared" si="84"/>
        <v>530</v>
      </c>
      <c r="AD32" s="336">
        <f t="shared" si="84"/>
        <v>527</v>
      </c>
      <c r="AE32" s="336">
        <f t="shared" si="84"/>
        <v>542</v>
      </c>
      <c r="AF32" s="1283">
        <f t="shared" si="84"/>
        <v>2094</v>
      </c>
      <c r="AG32" s="336">
        <f t="shared" si="84"/>
        <v>542</v>
      </c>
      <c r="AH32" s="336">
        <f t="shared" si="84"/>
        <v>580</v>
      </c>
      <c r="AI32" s="336">
        <f t="shared" si="84"/>
        <v>588</v>
      </c>
      <c r="AJ32" s="336">
        <f t="shared" si="84"/>
        <v>593</v>
      </c>
      <c r="AK32" s="1283">
        <f t="shared" si="84"/>
        <v>2303</v>
      </c>
      <c r="AL32" s="336">
        <f t="shared" si="85" ref="AL32:AQ32">INDEX(MO_RIS_NetII,0,COLUMN())</f>
        <v>104</v>
      </c>
      <c r="AM32" s="336">
        <f t="shared" si="85"/>
        <v>88</v>
      </c>
      <c r="AN32" s="336">
        <f t="shared" si="85"/>
        <v>122</v>
      </c>
      <c r="AO32" s="336">
        <f t="shared" si="85"/>
        <v>147</v>
      </c>
      <c r="AP32" s="1283">
        <f t="shared" si="85"/>
        <v>461</v>
      </c>
      <c r="AQ32" s="336">
        <f t="shared" si="85"/>
        <v>188</v>
      </c>
      <c r="AR32" s="336">
        <f t="shared" si="84"/>
        <v>164</v>
      </c>
      <c r="AS32" s="336">
        <f t="shared" si="84"/>
        <v>169</v>
      </c>
      <c r="AT32" s="336">
        <f t="shared" si="84"/>
        <v>209</v>
      </c>
      <c r="AU32" s="1283">
        <f t="shared" si="84"/>
        <v>730</v>
      </c>
      <c r="AV32" s="336">
        <f t="shared" si="86" ref="AV32:BE32">INDEX(MO_RIS_NetII,0,COLUMN())</f>
        <v>230</v>
      </c>
      <c r="AW32" s="336">
        <f t="shared" si="86"/>
        <v>168</v>
      </c>
      <c r="AX32" s="336">
        <f t="shared" si="86"/>
        <v>151</v>
      </c>
      <c r="AY32" s="336">
        <f t="shared" si="86"/>
        <v>168</v>
      </c>
      <c r="AZ32" s="1283">
        <f t="shared" si="86"/>
        <v>717</v>
      </c>
      <c r="BA32" s="336">
        <f t="shared" si="86"/>
        <v>217</v>
      </c>
      <c r="BB32" s="336">
        <f t="shared" si="86"/>
        <v>198</v>
      </c>
      <c r="BC32" s="336">
        <f>INDEX(MO_RIS_NetII,0,COLUMN())</f>
        <v>168</v>
      </c>
      <c r="BD32" s="336">
        <f t="shared" si="86"/>
        <v>159</v>
      </c>
      <c r="BE32" s="1283">
        <f t="shared" si="86"/>
        <v>742</v>
      </c>
      <c r="BF32" s="336">
        <f t="shared" si="87" ref="BF32:BJ32">INDEX(MO_RIS_NetII,0,COLUMN())</f>
        <v>198</v>
      </c>
      <c r="BG32" s="336">
        <f t="shared" si="87"/>
        <v>188</v>
      </c>
      <c r="BH32" s="906">
        <f>INDEX(MO_RIS_NetII,0,COLUMN())</f>
        <v>200</v>
      </c>
      <c r="BI32" s="146">
        <f t="shared" si="87"/>
        <v>194.23712923497268</v>
      </c>
      <c r="BJ32" s="1284">
        <f t="shared" si="87"/>
        <v>780.23712923497271</v>
      </c>
      <c r="BK32" s="146">
        <f t="shared" si="88" ref="BK32:BR32">INDEX(MO_RIS_NetII,0,COLUMN())</f>
        <v>194.8707311232877</v>
      </c>
      <c r="BL32" s="146">
        <f t="shared" si="88"/>
        <v>199.13215263287671</v>
      </c>
      <c r="BM32" s="146">
        <f t="shared" si="88"/>
        <v>203.70026183013698</v>
      </c>
      <c r="BN32" s="146">
        <f t="shared" si="88"/>
        <v>200.28270518904114</v>
      </c>
      <c r="BO32" s="1284">
        <f t="shared" si="88"/>
        <v>797.98585077534256</v>
      </c>
      <c r="BP32" s="1283">
        <f t="shared" si="88"/>
        <v>820.34143321931174</v>
      </c>
      <c r="BQ32" s="1283">
        <f t="shared" si="88"/>
        <v>844.57406373145443</v>
      </c>
      <c r="BR32" s="1284">
        <f t="shared" si="88"/>
        <v>870.81034001777346</v>
      </c>
      <c r="BS32" s="146"/>
    </row>
    <row r="33" spans="1:71" s="708" customFormat="1" ht="15">
      <c r="A33" s="205" t="str">
        <f>INDEX(MO_RIS_NetIG,0,COLUMN())</f>
        <v>Net Investment Gains</v>
      </c>
      <c r="B33" s="206"/>
      <c r="C33" s="1283">
        <f t="shared" si="89" ref="C33:AU33">INDEX(MO_RIS_NetIG,0,COLUMN())</f>
        <v>38</v>
      </c>
      <c r="D33" s="1283">
        <f t="shared" si="89"/>
        <v>88</v>
      </c>
      <c r="E33" s="1283">
        <f t="shared" si="89"/>
        <v>73</v>
      </c>
      <c r="F33" s="1283">
        <f t="shared" si="89"/>
        <v>371</v>
      </c>
      <c r="G33" s="1283">
        <f t="shared" si="89"/>
        <v>217</v>
      </c>
      <c r="H33" s="336">
        <f t="shared" si="89"/>
        <v>19</v>
      </c>
      <c r="I33" s="336">
        <f t="shared" si="89"/>
        <v>12</v>
      </c>
      <c r="J33" s="336">
        <f t="shared" si="89"/>
        <v>13</v>
      </c>
      <c r="K33" s="336">
        <f t="shared" si="89"/>
        <v>8</v>
      </c>
      <c r="L33" s="1283">
        <f t="shared" si="89"/>
        <v>52</v>
      </c>
      <c r="M33" s="336">
        <f t="shared" si="89"/>
        <v>-143</v>
      </c>
      <c r="N33" s="336">
        <f t="shared" si="89"/>
        <v>-1</v>
      </c>
      <c r="O33" s="336">
        <f t="shared" si="89"/>
        <v>-11</v>
      </c>
      <c r="P33" s="336">
        <f t="shared" si="89"/>
        <v>-25</v>
      </c>
      <c r="Q33" s="1283">
        <f t="shared" si="89"/>
        <v>-180</v>
      </c>
      <c r="R33" s="336">
        <f t="shared" si="89"/>
        <v>-18</v>
      </c>
      <c r="S33" s="336">
        <f t="shared" si="89"/>
        <v>-14</v>
      </c>
      <c r="T33" s="336">
        <f t="shared" si="89"/>
        <v>2</v>
      </c>
      <c r="U33" s="336">
        <f t="shared" si="89"/>
        <v>51</v>
      </c>
      <c r="V33" s="1283">
        <f t="shared" si="89"/>
        <v>21</v>
      </c>
      <c r="W33" s="336">
        <f t="shared" si="89"/>
        <v>3</v>
      </c>
      <c r="X33" s="336">
        <f t="shared" si="89"/>
        <v>8</v>
      </c>
      <c r="Y33" s="336">
        <f t="shared" si="89"/>
        <v>-12</v>
      </c>
      <c r="Z33" s="336">
        <f t="shared" si="89"/>
        <v>6</v>
      </c>
      <c r="AA33" s="1283">
        <f t="shared" si="89"/>
        <v>5</v>
      </c>
      <c r="AB33" s="336">
        <f t="shared" si="89"/>
        <v>-93</v>
      </c>
      <c r="AC33" s="336">
        <f t="shared" si="89"/>
        <v>31</v>
      </c>
      <c r="AD33" s="336">
        <f t="shared" si="89"/>
        <v>34</v>
      </c>
      <c r="AE33" s="336">
        <f t="shared" si="89"/>
        <v>-238</v>
      </c>
      <c r="AF33" s="1283">
        <f t="shared" si="89"/>
        <v>-266</v>
      </c>
      <c r="AG33" s="336">
        <f t="shared" si="89"/>
        <v>184</v>
      </c>
      <c r="AH33" s="336">
        <f t="shared" si="89"/>
        <v>56</v>
      </c>
      <c r="AI33" s="336">
        <f t="shared" si="89"/>
        <v>-18</v>
      </c>
      <c r="AJ33" s="336">
        <f t="shared" si="89"/>
        <v>65</v>
      </c>
      <c r="AK33" s="1283">
        <f t="shared" si="89"/>
        <v>287</v>
      </c>
      <c r="AL33" s="336">
        <f t="shared" si="90" ref="AL33:AQ33">INDEX(MO_RIS_NetIG,0,COLUMN())</f>
        <v>-328</v>
      </c>
      <c r="AM33" s="336">
        <f t="shared" si="90"/>
        <v>108</v>
      </c>
      <c r="AN33" s="336">
        <f t="shared" si="90"/>
        <v>-7</v>
      </c>
      <c r="AO33" s="336">
        <f t="shared" si="90"/>
        <v>175</v>
      </c>
      <c r="AP33" s="1283">
        <f t="shared" si="90"/>
        <v>-52</v>
      </c>
      <c r="AQ33" s="336">
        <f t="shared" si="90"/>
        <v>77</v>
      </c>
      <c r="AR33" s="336">
        <f t="shared" si="89"/>
        <v>47</v>
      </c>
      <c r="AS33" s="336">
        <f t="shared" si="89"/>
        <v>-17</v>
      </c>
      <c r="AT33" s="336">
        <f t="shared" si="89"/>
        <v>7</v>
      </c>
      <c r="AU33" s="1283">
        <f t="shared" si="89"/>
        <v>114</v>
      </c>
      <c r="AV33" s="336">
        <f t="shared" si="91" ref="AV33:BE33">INDEX(MO_RIS_NetIG,0,COLUMN())</f>
        <v>-15</v>
      </c>
      <c r="AW33" s="336">
        <f t="shared" si="91"/>
        <v>-93</v>
      </c>
      <c r="AX33" s="336">
        <f t="shared" si="91"/>
        <v>-35</v>
      </c>
      <c r="AY33" s="336">
        <f t="shared" si="91"/>
        <v>27</v>
      </c>
      <c r="AZ33" s="1283">
        <f t="shared" si="91"/>
        <v>-116</v>
      </c>
      <c r="BA33" s="336">
        <f t="shared" si="91"/>
        <v>-46</v>
      </c>
      <c r="BB33" s="336">
        <f t="shared" si="91"/>
        <v>-2</v>
      </c>
      <c r="BC33" s="336">
        <f>INDEX(MO_RIS_NetIG,0,COLUMN())</f>
        <v>-23</v>
      </c>
      <c r="BD33" s="336">
        <f t="shared" si="91"/>
        <v>31</v>
      </c>
      <c r="BE33" s="1283">
        <f t="shared" si="91"/>
        <v>-40</v>
      </c>
      <c r="BF33" s="336">
        <f t="shared" si="92" ref="BF33:BJ33">INDEX(MO_RIS_NetIG,0,COLUMN())</f>
        <v>14</v>
      </c>
      <c r="BG33" s="336">
        <f t="shared" si="92"/>
        <v>-2</v>
      </c>
      <c r="BH33" s="906">
        <f>INDEX(MO_RIS_NetIG,0,COLUMN())</f>
        <v>-2</v>
      </c>
      <c r="BI33" s="146">
        <f t="shared" si="92"/>
        <v>50</v>
      </c>
      <c r="BJ33" s="1284">
        <f t="shared" si="92"/>
        <v>60</v>
      </c>
      <c r="BK33" s="146">
        <f t="shared" si="93" ref="BK33:BR33">INDEX(MO_RIS_NetIG,0,COLUMN())</f>
        <v>35</v>
      </c>
      <c r="BL33" s="146">
        <f t="shared" si="93"/>
        <v>35</v>
      </c>
      <c r="BM33" s="146">
        <f t="shared" si="93"/>
        <v>35</v>
      </c>
      <c r="BN33" s="146">
        <f t="shared" si="93"/>
        <v>50</v>
      </c>
      <c r="BO33" s="1284">
        <f t="shared" si="93"/>
        <v>155</v>
      </c>
      <c r="BP33" s="1283">
        <f t="shared" si="93"/>
        <v>140</v>
      </c>
      <c r="BQ33" s="1283">
        <f t="shared" si="93"/>
        <v>140</v>
      </c>
      <c r="BR33" s="1284">
        <f t="shared" si="93"/>
        <v>140</v>
      </c>
      <c r="BS33" s="146"/>
    </row>
    <row r="34" spans="1:71" s="708" customFormat="1" ht="15">
      <c r="A34" s="207" t="str">
        <f>INDEX(MO_RIS_OtherIncome,0,COLUMN())</f>
        <v>Other Income</v>
      </c>
      <c r="B34" s="208"/>
      <c r="C34" s="1285">
        <f t="shared" si="94" ref="C34:AU34">INDEX(MO_RIS_OtherIncome,0,COLUMN())</f>
        <v>226</v>
      </c>
      <c r="D34" s="1285">
        <f t="shared" si="94"/>
        <v>217</v>
      </c>
      <c r="E34" s="1285">
        <f t="shared" si="94"/>
        <v>247</v>
      </c>
      <c r="F34" s="1285">
        <f t="shared" si="94"/>
        <v>120</v>
      </c>
      <c r="G34" s="1285">
        <f t="shared" si="94"/>
        <v>211</v>
      </c>
      <c r="H34" s="148">
        <f t="shared" si="94"/>
        <v>49</v>
      </c>
      <c r="I34" s="148">
        <f t="shared" si="94"/>
        <v>43</v>
      </c>
      <c r="J34" s="148">
        <f t="shared" si="94"/>
        <v>32</v>
      </c>
      <c r="K34" s="148">
        <f t="shared" si="94"/>
        <v>70</v>
      </c>
      <c r="L34" s="1285">
        <f t="shared" si="94"/>
        <v>194</v>
      </c>
      <c r="M34" s="148">
        <f t="shared" si="94"/>
        <v>81</v>
      </c>
      <c r="N34" s="148">
        <f t="shared" si="94"/>
        <v>128</v>
      </c>
      <c r="O34" s="148">
        <f t="shared" si="94"/>
        <v>72</v>
      </c>
      <c r="P34" s="148">
        <f t="shared" si="94"/>
        <v>83</v>
      </c>
      <c r="Q34" s="1285">
        <f t="shared" si="94"/>
        <v>364</v>
      </c>
      <c r="R34" s="148">
        <f t="shared" si="94"/>
        <v>78</v>
      </c>
      <c r="S34" s="148">
        <f t="shared" si="94"/>
        <v>139</v>
      </c>
      <c r="T34" s="148">
        <f t="shared" si="94"/>
        <v>105</v>
      </c>
      <c r="U34" s="148">
        <f t="shared" si="94"/>
        <v>107</v>
      </c>
      <c r="V34" s="1285">
        <f t="shared" si="94"/>
        <v>429</v>
      </c>
      <c r="W34" s="148">
        <f t="shared" si="94"/>
        <v>110</v>
      </c>
      <c r="X34" s="148">
        <f t="shared" si="94"/>
        <v>108</v>
      </c>
      <c r="Y34" s="148">
        <f t="shared" si="94"/>
        <v>103</v>
      </c>
      <c r="Z34" s="148">
        <f t="shared" si="94"/>
        <v>107</v>
      </c>
      <c r="AA34" s="1285">
        <f t="shared" si="94"/>
        <v>428</v>
      </c>
      <c r="AB34" s="148">
        <f t="shared" si="94"/>
        <v>104</v>
      </c>
      <c r="AC34" s="148">
        <f t="shared" si="94"/>
        <v>105</v>
      </c>
      <c r="AD34" s="148">
        <f t="shared" si="94"/>
        <v>114</v>
      </c>
      <c r="AE34" s="148">
        <f t="shared" si="94"/>
        <v>110</v>
      </c>
      <c r="AF34" s="1285">
        <f t="shared" si="94"/>
        <v>433</v>
      </c>
      <c r="AG34" s="148">
        <f t="shared" si="94"/>
        <v>119</v>
      </c>
      <c r="AH34" s="148">
        <f t="shared" si="94"/>
        <v>119</v>
      </c>
      <c r="AI34" s="148">
        <f t="shared" si="94"/>
        <v>105</v>
      </c>
      <c r="AJ34" s="148">
        <f t="shared" si="94"/>
        <v>97</v>
      </c>
      <c r="AK34" s="1285">
        <f t="shared" si="94"/>
        <v>440</v>
      </c>
      <c r="AL34" s="148">
        <f t="shared" si="95" ref="AL34:AQ34">INDEX(MO_RIS_OtherIncome,0,COLUMN())</f>
        <v>70</v>
      </c>
      <c r="AM34" s="148">
        <f t="shared" si="95"/>
        <v>65</v>
      </c>
      <c r="AN34" s="148">
        <f t="shared" si="95"/>
        <v>60</v>
      </c>
      <c r="AO34" s="148">
        <f t="shared" si="95"/>
        <v>66</v>
      </c>
      <c r="AP34" s="1285">
        <f t="shared" si="95"/>
        <v>261</v>
      </c>
      <c r="AQ34" s="148">
        <f t="shared" si="95"/>
        <v>71</v>
      </c>
      <c r="AR34" s="148">
        <f t="shared" si="94"/>
        <v>70</v>
      </c>
      <c r="AS34" s="148">
        <f t="shared" si="94"/>
        <v>73</v>
      </c>
      <c r="AT34" s="148">
        <f t="shared" si="94"/>
        <v>90</v>
      </c>
      <c r="AU34" s="1285">
        <f t="shared" si="94"/>
        <v>304</v>
      </c>
      <c r="AV34" s="148">
        <f t="shared" si="96" ref="AV34:BE34">INDEX(MO_RIS_OtherIncome,0,COLUMN())</f>
        <v>71</v>
      </c>
      <c r="AW34" s="148">
        <f t="shared" si="96"/>
        <v>71</v>
      </c>
      <c r="AX34" s="148">
        <f t="shared" si="96"/>
        <v>101</v>
      </c>
      <c r="AY34" s="148">
        <f t="shared" si="96"/>
        <v>111</v>
      </c>
      <c r="AZ34" s="1285">
        <f t="shared" si="96"/>
        <v>354</v>
      </c>
      <c r="BA34" s="148">
        <f t="shared" si="96"/>
        <v>132</v>
      </c>
      <c r="BB34" s="148">
        <f t="shared" si="96"/>
        <v>137</v>
      </c>
      <c r="BC34" s="148">
        <f>INDEX(MO_RIS_OtherIncome,0,COLUMN())</f>
        <v>164</v>
      </c>
      <c r="BD34" s="148">
        <f t="shared" si="96"/>
        <v>161</v>
      </c>
      <c r="BE34" s="1285">
        <f t="shared" si="96"/>
        <v>594</v>
      </c>
      <c r="BF34" s="148">
        <f t="shared" si="97" ref="BF34:BJ34">INDEX(MO_RIS_OtherIncome,0,COLUMN())</f>
        <v>148</v>
      </c>
      <c r="BG34" s="148">
        <f t="shared" si="97"/>
        <v>129</v>
      </c>
      <c r="BH34" s="907">
        <f>INDEX(MO_RIS_OtherIncome,0,COLUMN())</f>
        <v>116</v>
      </c>
      <c r="BI34" s="148">
        <f t="shared" si="97"/>
        <v>132</v>
      </c>
      <c r="BJ34" s="1285">
        <f t="shared" si="97"/>
        <v>525</v>
      </c>
      <c r="BK34" s="148">
        <f t="shared" si="98" ref="BK34:BR34">INDEX(MO_RIS_OtherIncome,0,COLUMN())</f>
        <v>120</v>
      </c>
      <c r="BL34" s="148">
        <f t="shared" si="98"/>
        <v>107</v>
      </c>
      <c r="BM34" s="148">
        <f t="shared" si="98"/>
        <v>107</v>
      </c>
      <c r="BN34" s="148">
        <f t="shared" si="98"/>
        <v>132</v>
      </c>
      <c r="BO34" s="1285">
        <f t="shared" si="98"/>
        <v>466</v>
      </c>
      <c r="BP34" s="1285">
        <f t="shared" si="98"/>
        <v>428</v>
      </c>
      <c r="BQ34" s="1285">
        <f t="shared" si="98"/>
        <v>428</v>
      </c>
      <c r="BR34" s="1285">
        <f t="shared" si="98"/>
        <v>428</v>
      </c>
      <c r="BS34" s="146"/>
    </row>
    <row r="35" spans="1:71" s="707" customFormat="1" ht="15">
      <c r="A35" s="216" t="str">
        <f>INDEX(MO_RIS_REV,0,COLUMN())</f>
        <v>Net Revenue</v>
      </c>
      <c r="B35" s="217"/>
      <c r="C35" s="1286">
        <f t="shared" si="99" ref="C35:AU35">INDEX(SP_GF_NEP,0,COLUMN())+INDEX(SP_GF_NetII,0,COLUMN())+INDEX(SP_GF_NetIG,0,COLUMN())+INDEX(SP_GF_OtherIncome,0,COLUMN())</f>
        <v>4320</v>
      </c>
      <c r="D35" s="1286">
        <f t="shared" si="99"/>
        <v>4497</v>
      </c>
      <c r="E35" s="1286">
        <f t="shared" si="99"/>
        <v>4750</v>
      </c>
      <c r="F35" s="1286">
        <f t="shared" si="99"/>
        <v>4957</v>
      </c>
      <c r="G35" s="1286">
        <f t="shared" si="99"/>
        <v>5092</v>
      </c>
      <c r="H35" s="150">
        <f t="shared" si="99"/>
        <v>1211</v>
      </c>
      <c r="I35" s="150">
        <f t="shared" si="99"/>
        <v>1392</v>
      </c>
      <c r="J35" s="150">
        <f t="shared" si="99"/>
        <v>1581</v>
      </c>
      <c r="K35" s="150">
        <f t="shared" si="99"/>
        <v>1549</v>
      </c>
      <c r="L35" s="1286">
        <f t="shared" si="99"/>
        <v>5733</v>
      </c>
      <c r="M35" s="150">
        <f t="shared" si="99"/>
        <v>1297</v>
      </c>
      <c r="N35" s="150">
        <f t="shared" si="99"/>
        <v>1543</v>
      </c>
      <c r="O35" s="150">
        <f t="shared" si="99"/>
        <v>1687</v>
      </c>
      <c r="P35" s="150">
        <f t="shared" si="99"/>
        <v>1618</v>
      </c>
      <c r="Q35" s="1286">
        <f t="shared" si="99"/>
        <v>6145</v>
      </c>
      <c r="R35" s="150">
        <f t="shared" si="99"/>
        <v>1475</v>
      </c>
      <c r="S35" s="150">
        <f t="shared" si="99"/>
        <v>1581</v>
      </c>
      <c r="T35" s="150">
        <f t="shared" si="99"/>
        <v>1705</v>
      </c>
      <c r="U35" s="150">
        <f t="shared" si="99"/>
        <v>1737</v>
      </c>
      <c r="V35" s="1286">
        <f t="shared" si="99"/>
        <v>6498</v>
      </c>
      <c r="W35" s="150">
        <f t="shared" si="99"/>
        <v>1576</v>
      </c>
      <c r="X35" s="150">
        <f t="shared" si="99"/>
        <v>1646</v>
      </c>
      <c r="Y35" s="150">
        <f t="shared" si="99"/>
        <v>1835</v>
      </c>
      <c r="Z35" s="150">
        <f t="shared" si="99"/>
        <v>1808</v>
      </c>
      <c r="AA35" s="1286">
        <f t="shared" si="99"/>
        <v>6865</v>
      </c>
      <c r="AB35" s="150">
        <f t="shared" si="99"/>
        <v>1619</v>
      </c>
      <c r="AC35" s="150">
        <f t="shared" si="99"/>
        <v>1833</v>
      </c>
      <c r="AD35" s="150">
        <f t="shared" si="99"/>
        <v>2008</v>
      </c>
      <c r="AE35" s="150">
        <f t="shared" si="99"/>
        <v>1690</v>
      </c>
      <c r="AF35" s="1286">
        <f t="shared" si="99"/>
        <v>7150</v>
      </c>
      <c r="AG35" s="150">
        <f t="shared" si="99"/>
        <v>2024</v>
      </c>
      <c r="AH35" s="150">
        <f t="shared" si="99"/>
        <v>1960</v>
      </c>
      <c r="AI35" s="150">
        <f t="shared" si="99"/>
        <v>2123</v>
      </c>
      <c r="AJ35" s="150">
        <f t="shared" si="99"/>
        <v>2130</v>
      </c>
      <c r="AK35" s="1286">
        <f t="shared" si="99"/>
        <v>8237</v>
      </c>
      <c r="AL35" s="150">
        <f t="shared" si="100" ref="AL35:AQ35">INDEX(SP_GF_NEP,0,COLUMN())+INDEX(SP_GF_NetII,0,COLUMN())+INDEX(SP_GF_NetIG,0,COLUMN())+INDEX(SP_GF_OtherIncome,0,COLUMN())</f>
        <v>1055</v>
      </c>
      <c r="AM35" s="150">
        <f t="shared" si="100"/>
        <v>1445</v>
      </c>
      <c r="AN35" s="150">
        <f t="shared" si="100"/>
        <v>1556</v>
      </c>
      <c r="AO35" s="150">
        <f t="shared" si="100"/>
        <v>1713</v>
      </c>
      <c r="AP35" s="1286">
        <f t="shared" si="100"/>
        <v>5769</v>
      </c>
      <c r="AQ35" s="150">
        <f t="shared" si="100"/>
        <v>1509</v>
      </c>
      <c r="AR35" s="150">
        <f t="shared" si="99"/>
        <v>1531</v>
      </c>
      <c r="AS35" s="150">
        <f t="shared" si="99"/>
        <v>1754</v>
      </c>
      <c r="AT35" s="150">
        <f t="shared" si="99"/>
        <v>1758</v>
      </c>
      <c r="AU35" s="1286">
        <f t="shared" si="99"/>
        <v>6552</v>
      </c>
      <c r="AV35" s="150">
        <f t="shared" si="101" ref="AV35:BE35">INDEX(SP_GF_NEP,0,COLUMN())+INDEX(SP_GF_NetII,0,COLUMN())+INDEX(SP_GF_NetIG,0,COLUMN())+INDEX(SP_GF_OtherIncome,0,COLUMN())</f>
        <v>1588</v>
      </c>
      <c r="AW35" s="150">
        <f t="shared" si="101"/>
        <v>1539</v>
      </c>
      <c r="AX35" s="150">
        <f t="shared" si="101"/>
        <v>1984</v>
      </c>
      <c r="AY35" s="150">
        <f t="shared" si="101"/>
        <v>1929</v>
      </c>
      <c r="AZ35" s="1286">
        <f t="shared" si="101"/>
        <v>7040</v>
      </c>
      <c r="BA35" s="150">
        <f t="shared" si="101"/>
        <v>1740</v>
      </c>
      <c r="BB35" s="150">
        <f t="shared" si="101"/>
        <v>1840</v>
      </c>
      <c r="BC35" s="150">
        <f>INDEX(SP_GF_NEP,0,COLUMN())+INDEX(SP_GF_NetII,0,COLUMN())+INDEX(SP_GF_NetIG,0,COLUMN())+INDEX(SP_GF_OtherIncome,0,COLUMN())</f>
        <v>2164</v>
      </c>
      <c r="BD35" s="150">
        <f t="shared" si="101"/>
        <v>2083</v>
      </c>
      <c r="BE35" s="1286">
        <f t="shared" si="101"/>
        <v>7827</v>
      </c>
      <c r="BF35" s="150">
        <f t="shared" si="102" ref="BF35:BJ35">INDEX(SP_GF_NEP,0,COLUMN())+INDEX(SP_GF_NetII,0,COLUMN())+INDEX(SP_GF_NetIG,0,COLUMN())+INDEX(SP_GF_OtherIncome,0,COLUMN())</f>
        <v>1906</v>
      </c>
      <c r="BG35" s="150">
        <f t="shared" si="102"/>
        <v>1900</v>
      </c>
      <c r="BH35" s="908">
        <f>INDEX(SP_GF_NEP,0,COLUMN())+INDEX(SP_GF_NetII,0,COLUMN())+INDEX(SP_GF_NetIG,0,COLUMN())+INDEX(SP_GF_OtherIncome,0,COLUMN())</f>
        <v>2369</v>
      </c>
      <c r="BI35" s="150">
        <f t="shared" si="102"/>
        <v>1809.5007292349724</v>
      </c>
      <c r="BJ35" s="1286">
        <f t="shared" si="102"/>
        <v>7984.5007292349728</v>
      </c>
      <c r="BK35" s="150">
        <f t="shared" si="103" ref="BK35:BR35">INDEX(SP_GF_NEP,0,COLUMN())+INDEX(SP_GF_NetII,0,COLUMN())+INDEX(SP_GF_NetIG,0,COLUMN())+INDEX(SP_GF_OtherIncome,0,COLUMN())</f>
        <v>1884.6034461232878</v>
      </c>
      <c r="BL35" s="150">
        <f t="shared" si="103"/>
        <v>1890.2326026328769</v>
      </c>
      <c r="BM35" s="150">
        <f t="shared" si="103"/>
        <v>2047.2287418301371</v>
      </c>
      <c r="BN35" s="150">
        <f t="shared" si="103"/>
        <v>1947.6124101890407</v>
      </c>
      <c r="BO35" s="1286">
        <f t="shared" si="103"/>
        <v>7769.6772007753416</v>
      </c>
      <c r="BP35" s="1286">
        <f t="shared" si="103"/>
        <v>8564.7313538543112</v>
      </c>
      <c r="BQ35" s="1286">
        <f t="shared" si="103"/>
        <v>10724.802563070652</v>
      </c>
      <c r="BR35" s="1286">
        <f t="shared" si="103"/>
        <v>11249.937733866416</v>
      </c>
      <c r="BS35" s="77"/>
    </row>
    <row r="36" spans="1:71" s="708" customFormat="1" ht="15">
      <c r="A36" s="205" t="str">
        <f>INDEX(MO_RIS_Loss,0,COLUMN())</f>
        <v>Loss and LAE</v>
      </c>
      <c r="B36" s="206"/>
      <c r="C36" s="1283">
        <f t="shared" si="104" ref="C36:AU36">INDEX(MO_RIS_Loss,0,COLUMN())</f>
        <v>1983</v>
      </c>
      <c r="D36" s="1283">
        <f t="shared" si="104"/>
        <v>2269</v>
      </c>
      <c r="E36" s="1283">
        <f t="shared" si="104"/>
        <v>2623</v>
      </c>
      <c r="F36" s="1283">
        <f t="shared" si="104"/>
        <v>2770</v>
      </c>
      <c r="G36" s="1283">
        <f t="shared" si="104"/>
        <v>2731</v>
      </c>
      <c r="H36" s="336">
        <f t="shared" si="104"/>
        <v>640</v>
      </c>
      <c r="I36" s="336">
        <f t="shared" si="104"/>
        <v>807</v>
      </c>
      <c r="J36" s="336">
        <f t="shared" si="104"/>
        <v>978</v>
      </c>
      <c r="K36" s="336">
        <f t="shared" si="104"/>
        <v>881</v>
      </c>
      <c r="L36" s="1283">
        <f t="shared" si="104"/>
        <v>3306</v>
      </c>
      <c r="M36" s="336">
        <f t="shared" si="104"/>
        <v>792</v>
      </c>
      <c r="N36" s="336">
        <f t="shared" si="104"/>
        <v>785</v>
      </c>
      <c r="O36" s="336">
        <f t="shared" si="104"/>
        <v>1064</v>
      </c>
      <c r="P36" s="336">
        <f t="shared" si="104"/>
        <v>917</v>
      </c>
      <c r="Q36" s="1283">
        <f t="shared" si="104"/>
        <v>3558</v>
      </c>
      <c r="R36" s="336">
        <f t="shared" si="104"/>
        <v>818</v>
      </c>
      <c r="S36" s="336">
        <f t="shared" si="104"/>
        <v>919</v>
      </c>
      <c r="T36" s="336">
        <f t="shared" si="104"/>
        <v>962</v>
      </c>
      <c r="U36" s="336">
        <f t="shared" si="104"/>
        <v>896</v>
      </c>
      <c r="V36" s="1283">
        <f t="shared" si="104"/>
        <v>3595</v>
      </c>
      <c r="W36" s="336">
        <f t="shared" si="104"/>
        <v>814</v>
      </c>
      <c r="X36" s="336">
        <f t="shared" si="104"/>
        <v>865</v>
      </c>
      <c r="Y36" s="336">
        <f t="shared" si="104"/>
        <v>1216</v>
      </c>
      <c r="Z36" s="336">
        <f t="shared" si="104"/>
        <v>978</v>
      </c>
      <c r="AA36" s="1283">
        <f t="shared" si="104"/>
        <v>3873</v>
      </c>
      <c r="AB36" s="336">
        <f t="shared" si="104"/>
        <v>834</v>
      </c>
      <c r="AC36" s="336">
        <f t="shared" si="104"/>
        <v>964</v>
      </c>
      <c r="AD36" s="336">
        <f t="shared" si="104"/>
        <v>1104</v>
      </c>
      <c r="AE36" s="336">
        <f t="shared" si="104"/>
        <v>1139</v>
      </c>
      <c r="AF36" s="1283">
        <f t="shared" si="104"/>
        <v>4041</v>
      </c>
      <c r="AG36" s="336">
        <f t="shared" si="104"/>
        <v>1012</v>
      </c>
      <c r="AH36" s="336">
        <f t="shared" si="104"/>
        <v>1070</v>
      </c>
      <c r="AI36" s="336">
        <f t="shared" si="104"/>
        <v>1203</v>
      </c>
      <c r="AJ36" s="336">
        <f t="shared" si="104"/>
        <v>1173</v>
      </c>
      <c r="AK36" s="1283">
        <f t="shared" si="104"/>
        <v>4458</v>
      </c>
      <c r="AL36" s="336">
        <f t="shared" si="105" ref="AL36:AQ36">INDEX(MO_RIS_Loss,0,COLUMN())</f>
        <v>707</v>
      </c>
      <c r="AM36" s="336">
        <f t="shared" si="105"/>
        <v>771</v>
      </c>
      <c r="AN36" s="336">
        <f t="shared" si="105"/>
        <v>963</v>
      </c>
      <c r="AO36" s="336">
        <f t="shared" si="105"/>
        <v>830</v>
      </c>
      <c r="AP36" s="1283">
        <f t="shared" si="105"/>
        <v>3271</v>
      </c>
      <c r="AQ36" s="336">
        <f t="shared" si="105"/>
        <v>667</v>
      </c>
      <c r="AR36" s="336">
        <f t="shared" si="104"/>
        <v>714</v>
      </c>
      <c r="AS36" s="336">
        <f t="shared" si="104"/>
        <v>954</v>
      </c>
      <c r="AT36" s="336">
        <f t="shared" si="104"/>
        <v>822</v>
      </c>
      <c r="AU36" s="1283">
        <f t="shared" si="104"/>
        <v>3157</v>
      </c>
      <c r="AV36" s="336">
        <f t="shared" si="106" ref="AV36:BE36">INDEX(MO_RIS_Loss,0,COLUMN())</f>
        <v>693</v>
      </c>
      <c r="AW36" s="336">
        <f t="shared" si="106"/>
        <v>774</v>
      </c>
      <c r="AX36" s="336">
        <f t="shared" si="106"/>
        <v>1176</v>
      </c>
      <c r="AY36" s="336">
        <f t="shared" si="106"/>
        <v>986</v>
      </c>
      <c r="AZ36" s="1283">
        <f t="shared" si="106"/>
        <v>3629</v>
      </c>
      <c r="BA36" s="336">
        <f t="shared" si="106"/>
        <v>820</v>
      </c>
      <c r="BB36" s="336">
        <f t="shared" si="106"/>
        <v>905</v>
      </c>
      <c r="BC36" s="336">
        <f>INDEX(MO_RIS_Loss,0,COLUMN())</f>
        <v>1239</v>
      </c>
      <c r="BD36" s="336">
        <f t="shared" si="106"/>
        <v>1069</v>
      </c>
      <c r="BE36" s="1283">
        <f t="shared" si="106"/>
        <v>4033</v>
      </c>
      <c r="BF36" s="336">
        <f t="shared" si="107" ref="BF36:BJ36">INDEX(MO_RIS_Loss,0,COLUMN())</f>
        <v>912</v>
      </c>
      <c r="BG36" s="336">
        <f t="shared" si="107"/>
        <v>937</v>
      </c>
      <c r="BH36" s="906">
        <f>INDEX(MO_RIS_Loss,0,COLUMN())</f>
        <v>1430</v>
      </c>
      <c r="BI36" s="146">
        <f t="shared" si="107"/>
        <v>862.10117799999978</v>
      </c>
      <c r="BJ36" s="1284">
        <f t="shared" si="107"/>
        <v>4141.1011779999999</v>
      </c>
      <c r="BK36" s="146">
        <f t="shared" si="108" ref="BK36:BR36">INDEX(MO_RIS_Loss,0,COLUMN())</f>
        <v>849.29725325000015</v>
      </c>
      <c r="BL36" s="146">
        <f t="shared" si="108"/>
        <v>909.48687800000016</v>
      </c>
      <c r="BM36" s="146">
        <f t="shared" si="108"/>
        <v>998.13535470000011</v>
      </c>
      <c r="BN36" s="146">
        <f t="shared" si="108"/>
        <v>835.92829483999981</v>
      </c>
      <c r="BO36" s="1284">
        <f t="shared" si="108"/>
        <v>3592.8477807899999</v>
      </c>
      <c r="BP36" s="1283">
        <f t="shared" si="108"/>
        <v>4230.05818818015</v>
      </c>
      <c r="BQ36" s="1283">
        <f t="shared" si="108"/>
        <v>5514.8419490297583</v>
      </c>
      <c r="BR36" s="1284">
        <f t="shared" si="108"/>
        <v>5801.1603585041757</v>
      </c>
      <c r="BS36" s="146"/>
    </row>
    <row r="37" spans="1:71" s="708" customFormat="1" ht="15">
      <c r="A37" s="205" t="str">
        <f>INDEX(MO_RIS_OOE,0,COLUMN())</f>
        <v>Other Operating Expense</v>
      </c>
      <c r="B37" s="206"/>
      <c r="C37" s="1283">
        <f t="shared" si="109" ref="C37:AU37">INDEX(MO_RIS_OOE,0,COLUMN())</f>
        <v>995</v>
      </c>
      <c r="D37" s="1283">
        <f t="shared" si="109"/>
        <v>1028</v>
      </c>
      <c r="E37" s="1283">
        <f t="shared" si="109"/>
        <v>1037</v>
      </c>
      <c r="F37" s="1283">
        <f t="shared" si="109"/>
        <v>1169</v>
      </c>
      <c r="G37" s="1283">
        <f t="shared" si="109"/>
        <v>1186</v>
      </c>
      <c r="H37" s="336">
        <f t="shared" si="109"/>
        <v>302</v>
      </c>
      <c r="I37" s="336">
        <f t="shared" si="109"/>
        <v>341</v>
      </c>
      <c r="J37" s="336">
        <f t="shared" si="109"/>
        <v>348</v>
      </c>
      <c r="K37" s="336">
        <f t="shared" si="109"/>
        <v>374</v>
      </c>
      <c r="L37" s="1283">
        <f t="shared" si="109"/>
        <v>1365</v>
      </c>
      <c r="M37" s="336">
        <f t="shared" si="109"/>
        <v>354</v>
      </c>
      <c r="N37" s="336">
        <f t="shared" si="109"/>
        <v>404</v>
      </c>
      <c r="O37" s="336">
        <f t="shared" si="109"/>
        <v>385</v>
      </c>
      <c r="P37" s="336">
        <f t="shared" si="109"/>
        <v>356</v>
      </c>
      <c r="Q37" s="1283">
        <f t="shared" si="109"/>
        <v>1499</v>
      </c>
      <c r="R37" s="336">
        <f t="shared" si="109"/>
        <v>369</v>
      </c>
      <c r="S37" s="336">
        <f t="shared" si="109"/>
        <v>390</v>
      </c>
      <c r="T37" s="336">
        <f t="shared" si="109"/>
        <v>410</v>
      </c>
      <c r="U37" s="336">
        <f t="shared" si="109"/>
        <v>366</v>
      </c>
      <c r="V37" s="1283">
        <f t="shared" si="109"/>
        <v>1535</v>
      </c>
      <c r="W37" s="336">
        <f t="shared" si="109"/>
        <v>392</v>
      </c>
      <c r="X37" s="336">
        <f t="shared" si="109"/>
        <v>414</v>
      </c>
      <c r="Y37" s="336">
        <f t="shared" si="109"/>
        <v>412</v>
      </c>
      <c r="Z37" s="336">
        <f t="shared" si="109"/>
        <v>362</v>
      </c>
      <c r="AA37" s="1283">
        <f t="shared" si="109"/>
        <v>1580</v>
      </c>
      <c r="AB37" s="336">
        <f t="shared" si="109"/>
        <v>463</v>
      </c>
      <c r="AC37" s="336">
        <f t="shared" si="109"/>
        <v>450</v>
      </c>
      <c r="AD37" s="336">
        <f t="shared" si="109"/>
        <v>495</v>
      </c>
      <c r="AE37" s="336">
        <f t="shared" si="109"/>
        <v>436</v>
      </c>
      <c r="AF37" s="1283">
        <f t="shared" si="109"/>
        <v>1844</v>
      </c>
      <c r="AG37" s="336">
        <f t="shared" si="109"/>
        <v>427</v>
      </c>
      <c r="AH37" s="336">
        <f t="shared" si="109"/>
        <v>459</v>
      </c>
      <c r="AI37" s="336">
        <f t="shared" si="109"/>
        <v>570</v>
      </c>
      <c r="AJ37" s="336">
        <f t="shared" si="109"/>
        <v>522</v>
      </c>
      <c r="AK37" s="1283">
        <f t="shared" si="109"/>
        <v>1978</v>
      </c>
      <c r="AL37" s="336">
        <f t="shared" si="110" ref="AL37:AQ37">INDEX(MO_RIS_OOE,0,COLUMN())</f>
        <v>420</v>
      </c>
      <c r="AM37" s="336">
        <f t="shared" si="110"/>
        <v>409</v>
      </c>
      <c r="AN37" s="336">
        <f t="shared" si="110"/>
        <v>406</v>
      </c>
      <c r="AO37" s="336">
        <f t="shared" si="110"/>
        <v>390</v>
      </c>
      <c r="AP37" s="1283">
        <f t="shared" si="110"/>
        <v>1625</v>
      </c>
      <c r="AQ37" s="336">
        <f t="shared" si="110"/>
        <v>380</v>
      </c>
      <c r="AR37" s="336">
        <f t="shared" si="109"/>
        <v>390</v>
      </c>
      <c r="AS37" s="336">
        <f t="shared" si="109"/>
        <v>417</v>
      </c>
      <c r="AT37" s="336">
        <f t="shared" si="109"/>
        <v>360</v>
      </c>
      <c r="AU37" s="1283">
        <f t="shared" si="109"/>
        <v>1547</v>
      </c>
      <c r="AV37" s="336">
        <f t="shared" si="111" ref="AV37:BE37">INDEX(MO_RIS_OOE,0,COLUMN())</f>
        <v>414</v>
      </c>
      <c r="AW37" s="336">
        <f t="shared" si="111"/>
        <v>432</v>
      </c>
      <c r="AX37" s="336">
        <f t="shared" si="111"/>
        <v>445</v>
      </c>
      <c r="AY37" s="336">
        <f t="shared" si="111"/>
        <v>427</v>
      </c>
      <c r="AZ37" s="1283">
        <f t="shared" si="111"/>
        <v>1718</v>
      </c>
      <c r="BA37" s="336">
        <f t="shared" si="111"/>
        <v>473</v>
      </c>
      <c r="BB37" s="336">
        <f t="shared" si="111"/>
        <v>485</v>
      </c>
      <c r="BC37" s="336">
        <f>INDEX(MO_RIS_OOE,0,COLUMN())</f>
        <v>497</v>
      </c>
      <c r="BD37" s="336">
        <f t="shared" si="111"/>
        <v>480</v>
      </c>
      <c r="BE37" s="1283">
        <f t="shared" si="111"/>
        <v>1935</v>
      </c>
      <c r="BF37" s="336">
        <f t="shared" si="112" ref="BF37:BJ37">INDEX(MO_RIS_OOE,0,COLUMN())</f>
        <v>503</v>
      </c>
      <c r="BG37" s="336">
        <f t="shared" si="112"/>
        <v>506</v>
      </c>
      <c r="BH37" s="906">
        <f>INDEX(MO_RIS_OOE,0,COLUMN())</f>
        <v>518</v>
      </c>
      <c r="BI37" s="146">
        <f t="shared" si="112"/>
        <v>426.33014400000002</v>
      </c>
      <c r="BJ37" s="1284">
        <f t="shared" si="112"/>
        <v>1953.330144</v>
      </c>
      <c r="BK37" s="146">
        <f t="shared" si="113" ref="BK37:BR37">INDEX(MO_RIS_OOE,0,COLUMN())</f>
        <v>446.36612530000002</v>
      </c>
      <c r="BL37" s="146">
        <f t="shared" si="113"/>
        <v>447.56595400000003</v>
      </c>
      <c r="BM37" s="146">
        <f t="shared" si="113"/>
        <v>488.90739560000003</v>
      </c>
      <c r="BN37" s="146">
        <f t="shared" si="113"/>
        <v>467.39506685999993</v>
      </c>
      <c r="BO37" s="1284">
        <f t="shared" si="113"/>
        <v>1850.23454176</v>
      </c>
      <c r="BP37" s="1283">
        <f t="shared" si="113"/>
        <v>2049.9507464746998</v>
      </c>
      <c r="BQ37" s="1283">
        <f t="shared" si="113"/>
        <v>2616.1400321230635</v>
      </c>
      <c r="BR37" s="1284">
        <f t="shared" si="113"/>
        <v>2763.9408625050169</v>
      </c>
      <c r="BS37" s="146"/>
    </row>
    <row r="38" spans="1:71" s="708" customFormat="1" ht="15">
      <c r="A38" s="205" t="str">
        <f>INDEX(MO_RIS_IE,0,COLUMN())</f>
        <v>Interest Expense</v>
      </c>
      <c r="B38" s="206"/>
      <c r="C38" s="1283">
        <f t="shared" si="114" ref="C38:AU38">INDEX(MO_RIS_IE,0,COLUMN())</f>
        <v>67</v>
      </c>
      <c r="D38" s="1283">
        <f t="shared" si="114"/>
        <v>78</v>
      </c>
      <c r="E38" s="1283">
        <f t="shared" si="114"/>
        <v>85</v>
      </c>
      <c r="F38" s="1283">
        <f t="shared" si="114"/>
        <v>75</v>
      </c>
      <c r="G38" s="1283">
        <f t="shared" si="114"/>
        <v>71</v>
      </c>
      <c r="H38" s="336">
        <f t="shared" si="114"/>
        <v>18</v>
      </c>
      <c r="I38" s="336">
        <f t="shared" si="114"/>
        <v>17</v>
      </c>
      <c r="J38" s="336">
        <f t="shared" si="114"/>
        <v>18</v>
      </c>
      <c r="K38" s="336">
        <f t="shared" si="114"/>
        <v>20</v>
      </c>
      <c r="L38" s="1283">
        <f t="shared" si="114"/>
        <v>73</v>
      </c>
      <c r="M38" s="336">
        <f t="shared" si="114"/>
        <v>20</v>
      </c>
      <c r="N38" s="336">
        <f t="shared" si="114"/>
        <v>20</v>
      </c>
      <c r="O38" s="336">
        <f t="shared" si="114"/>
        <v>18</v>
      </c>
      <c r="P38" s="336">
        <f t="shared" si="114"/>
        <v>17</v>
      </c>
      <c r="Q38" s="1283">
        <f t="shared" si="114"/>
        <v>75</v>
      </c>
      <c r="R38" s="336">
        <f t="shared" si="114"/>
        <v>18</v>
      </c>
      <c r="S38" s="336">
        <f t="shared" si="114"/>
        <v>19</v>
      </c>
      <c r="T38" s="336">
        <f t="shared" si="114"/>
        <v>19</v>
      </c>
      <c r="U38" s="336">
        <f t="shared" si="114"/>
        <v>21</v>
      </c>
      <c r="V38" s="1283">
        <f t="shared" si="114"/>
        <v>77</v>
      </c>
      <c r="W38" s="336">
        <f t="shared" si="114"/>
        <v>21</v>
      </c>
      <c r="X38" s="336">
        <f t="shared" si="114"/>
        <v>23</v>
      </c>
      <c r="Y38" s="336">
        <f t="shared" si="114"/>
        <v>21</v>
      </c>
      <c r="Z38" s="336">
        <f t="shared" si="114"/>
        <v>20</v>
      </c>
      <c r="AA38" s="1283">
        <f t="shared" si="114"/>
        <v>85</v>
      </c>
      <c r="AB38" s="336">
        <f t="shared" si="114"/>
        <v>15</v>
      </c>
      <c r="AC38" s="336">
        <f t="shared" si="114"/>
        <v>16</v>
      </c>
      <c r="AD38" s="336">
        <f t="shared" si="114"/>
        <v>15</v>
      </c>
      <c r="AE38" s="336">
        <f t="shared" si="114"/>
        <v>16</v>
      </c>
      <c r="AF38" s="1283">
        <f t="shared" si="114"/>
        <v>62</v>
      </c>
      <c r="AG38" s="336">
        <f t="shared" si="114"/>
        <v>16</v>
      </c>
      <c r="AH38" s="336">
        <f t="shared" si="114"/>
        <v>17</v>
      </c>
      <c r="AI38" s="336">
        <f t="shared" si="114"/>
        <v>17</v>
      </c>
      <c r="AJ38" s="336">
        <f t="shared" si="114"/>
        <v>18</v>
      </c>
      <c r="AK38" s="1283">
        <f t="shared" si="114"/>
        <v>68</v>
      </c>
      <c r="AL38" s="336">
        <f t="shared" si="115" ref="AL38:AQ38">INDEX(MO_RIS_IE,0,COLUMN())</f>
        <v>17</v>
      </c>
      <c r="AM38" s="336">
        <f t="shared" si="115"/>
        <v>23</v>
      </c>
      <c r="AN38" s="336">
        <f t="shared" si="115"/>
        <v>24</v>
      </c>
      <c r="AO38" s="336">
        <f t="shared" si="115"/>
        <v>24</v>
      </c>
      <c r="AP38" s="1283">
        <f t="shared" si="115"/>
        <v>88</v>
      </c>
      <c r="AQ38" s="336">
        <f t="shared" si="115"/>
        <v>24</v>
      </c>
      <c r="AR38" s="336">
        <f t="shared" si="114"/>
        <v>23</v>
      </c>
      <c r="AS38" s="336">
        <f t="shared" si="114"/>
        <v>24</v>
      </c>
      <c r="AT38" s="336">
        <f t="shared" si="114"/>
        <v>23</v>
      </c>
      <c r="AU38" s="1283">
        <f t="shared" si="114"/>
        <v>94</v>
      </c>
      <c r="AV38" s="336">
        <f t="shared" si="116" ref="AV38:BE38">INDEX(MO_RIS_IE,0,COLUMN())</f>
        <v>23</v>
      </c>
      <c r="AW38" s="336">
        <f t="shared" si="116"/>
        <v>23</v>
      </c>
      <c r="AX38" s="336">
        <f t="shared" si="116"/>
        <v>19</v>
      </c>
      <c r="AY38" s="336">
        <f t="shared" si="116"/>
        <v>20</v>
      </c>
      <c r="AZ38" s="1283">
        <f t="shared" si="116"/>
        <v>85</v>
      </c>
      <c r="BA38" s="336">
        <f t="shared" si="116"/>
        <v>19</v>
      </c>
      <c r="BB38" s="336">
        <f t="shared" si="116"/>
        <v>19</v>
      </c>
      <c r="BC38" s="336">
        <f>INDEX(MO_RIS_IE,0,COLUMN())</f>
        <v>19</v>
      </c>
      <c r="BD38" s="336">
        <f t="shared" si="116"/>
        <v>19</v>
      </c>
      <c r="BE38" s="1283">
        <f t="shared" si="116"/>
        <v>76</v>
      </c>
      <c r="BF38" s="336">
        <f t="shared" si="117" ref="BF38:BJ38">INDEX(MO_RIS_IE,0,COLUMN())</f>
        <v>19</v>
      </c>
      <c r="BG38" s="336">
        <f t="shared" si="117"/>
        <v>19</v>
      </c>
      <c r="BH38" s="906">
        <f>INDEX(MO_RIS_IE,0,COLUMN())</f>
        <v>19</v>
      </c>
      <c r="BI38" s="146">
        <f t="shared" si="117"/>
        <v>20.392076502732241</v>
      </c>
      <c r="BJ38" s="1284">
        <f t="shared" si="117"/>
        <v>77.392076502732237</v>
      </c>
      <c r="BK38" s="146">
        <f t="shared" si="118" ref="BK38:BR38">INDEX(MO_RIS_IE,0,COLUMN())</f>
        <v>20.003424657534246</v>
      </c>
      <c r="BL38" s="146">
        <f t="shared" si="118"/>
        <v>20.225684931506848</v>
      </c>
      <c r="BM38" s="146">
        <f t="shared" si="118"/>
        <v>20.447945205479453</v>
      </c>
      <c r="BN38" s="146">
        <f t="shared" si="118"/>
        <v>20.447945205479453</v>
      </c>
      <c r="BO38" s="1284">
        <f t="shared" si="118"/>
        <v>81.125</v>
      </c>
      <c r="BP38" s="1283">
        <f t="shared" si="118"/>
        <v>81.125</v>
      </c>
      <c r="BQ38" s="1283">
        <f t="shared" si="118"/>
        <v>81.125</v>
      </c>
      <c r="BR38" s="1284">
        <f t="shared" si="118"/>
        <v>81.125</v>
      </c>
      <c r="BS38" s="146"/>
    </row>
    <row r="39" spans="1:71" s="708" customFormat="1" ht="15">
      <c r="A39" s="205" t="str">
        <f>INDEX(MO_RIS_OI,0,COLUMN())</f>
        <v>Other Items</v>
      </c>
      <c r="B39" s="206"/>
      <c r="C39" s="1283">
        <f t="shared" si="119" ref="C39:AU39">INDEX(MO_RIS_OI,0,COLUMN())</f>
        <v>463</v>
      </c>
      <c r="D39" s="1283">
        <f t="shared" si="119"/>
        <v>433</v>
      </c>
      <c r="E39" s="1283">
        <f t="shared" si="119"/>
        <v>447</v>
      </c>
      <c r="F39" s="1283">
        <f t="shared" si="119"/>
        <v>406</v>
      </c>
      <c r="G39" s="1283">
        <f t="shared" si="119"/>
        <v>415</v>
      </c>
      <c r="H39" s="336">
        <f t="shared" si="119"/>
        <v>90</v>
      </c>
      <c r="I39" s="336">
        <f t="shared" si="119"/>
        <v>97</v>
      </c>
      <c r="J39" s="336">
        <f t="shared" si="119"/>
        <v>92</v>
      </c>
      <c r="K39" s="336">
        <f t="shared" si="119"/>
        <v>84</v>
      </c>
      <c r="L39" s="1283">
        <f t="shared" si="119"/>
        <v>363</v>
      </c>
      <c r="M39" s="336">
        <f t="shared" si="119"/>
        <v>101</v>
      </c>
      <c r="N39" s="336">
        <f t="shared" si="119"/>
        <v>108</v>
      </c>
      <c r="O39" s="336">
        <f t="shared" si="119"/>
        <v>121</v>
      </c>
      <c r="P39" s="336">
        <f t="shared" si="119"/>
        <v>118</v>
      </c>
      <c r="Q39" s="1283">
        <f t="shared" si="119"/>
        <v>448</v>
      </c>
      <c r="R39" s="336">
        <f t="shared" si="119"/>
        <v>114</v>
      </c>
      <c r="S39" s="336">
        <f t="shared" si="119"/>
        <v>117</v>
      </c>
      <c r="T39" s="336">
        <f t="shared" si="119"/>
        <v>136</v>
      </c>
      <c r="U39" s="336">
        <f t="shared" si="119"/>
        <v>137</v>
      </c>
      <c r="V39" s="1283">
        <f t="shared" si="119"/>
        <v>504</v>
      </c>
      <c r="W39" s="336">
        <f t="shared" si="119"/>
        <v>126</v>
      </c>
      <c r="X39" s="336">
        <f t="shared" si="119"/>
        <v>139</v>
      </c>
      <c r="Y39" s="336">
        <f t="shared" si="119"/>
        <v>157</v>
      </c>
      <c r="Z39" s="336">
        <f t="shared" si="119"/>
        <v>181</v>
      </c>
      <c r="AA39" s="1283">
        <f t="shared" si="119"/>
        <v>603</v>
      </c>
      <c r="AB39" s="336">
        <f t="shared" si="119"/>
        <v>133</v>
      </c>
      <c r="AC39" s="336">
        <f t="shared" si="119"/>
        <v>143</v>
      </c>
      <c r="AD39" s="336">
        <f t="shared" si="119"/>
        <v>150</v>
      </c>
      <c r="AE39" s="336">
        <f t="shared" si="119"/>
        <v>138</v>
      </c>
      <c r="AF39" s="1283">
        <f t="shared" si="119"/>
        <v>564</v>
      </c>
      <c r="AG39" s="336">
        <f t="shared" si="119"/>
        <v>156</v>
      </c>
      <c r="AH39" s="336">
        <f t="shared" si="119"/>
        <v>155</v>
      </c>
      <c r="AI39" s="336">
        <f t="shared" si="119"/>
        <v>156</v>
      </c>
      <c r="AJ39" s="336">
        <f t="shared" si="119"/>
        <v>158</v>
      </c>
      <c r="AK39" s="1283">
        <f t="shared" si="119"/>
        <v>625</v>
      </c>
      <c r="AL39" s="336">
        <f t="shared" si="120" ref="AL39:AQ39">INDEX(MO_RIS_OI,0,COLUMN())</f>
        <v>96</v>
      </c>
      <c r="AM39" s="336">
        <f t="shared" si="120"/>
        <v>102</v>
      </c>
      <c r="AN39" s="336">
        <f t="shared" si="120"/>
        <v>123</v>
      </c>
      <c r="AO39" s="336">
        <f t="shared" si="120"/>
        <v>125</v>
      </c>
      <c r="AP39" s="1283">
        <f t="shared" si="120"/>
        <v>446</v>
      </c>
      <c r="AQ39" s="336">
        <f t="shared" si="120"/>
        <v>103</v>
      </c>
      <c r="AR39" s="336">
        <f t="shared" si="119"/>
        <v>116</v>
      </c>
      <c r="AS39" s="336">
        <f t="shared" si="119"/>
        <v>92</v>
      </c>
      <c r="AT39" s="336">
        <f t="shared" si="119"/>
        <v>108</v>
      </c>
      <c r="AU39" s="1283">
        <f t="shared" si="119"/>
        <v>419</v>
      </c>
      <c r="AV39" s="336">
        <f t="shared" si="121" ref="AV39:BE39">INDEX(MO_RIS_OI,0,COLUMN())</f>
        <v>97</v>
      </c>
      <c r="AW39" s="336">
        <f t="shared" si="121"/>
        <v>104</v>
      </c>
      <c r="AX39" s="336">
        <f t="shared" si="121"/>
        <v>134</v>
      </c>
      <c r="AY39" s="336">
        <f t="shared" si="121"/>
        <v>150</v>
      </c>
      <c r="AZ39" s="1283">
        <f t="shared" si="121"/>
        <v>485</v>
      </c>
      <c r="BA39" s="336">
        <f t="shared" si="121"/>
        <v>164</v>
      </c>
      <c r="BB39" s="336">
        <f t="shared" si="121"/>
        <v>176</v>
      </c>
      <c r="BC39" s="336">
        <f>INDEX(MO_RIS_OI,0,COLUMN())</f>
        <v>190</v>
      </c>
      <c r="BD39" s="336">
        <f t="shared" si="121"/>
        <v>180</v>
      </c>
      <c r="BE39" s="1283">
        <f t="shared" si="121"/>
        <v>710</v>
      </c>
      <c r="BF39" s="336">
        <f t="shared" si="122" ref="BF39:BJ39">INDEX(MO_RIS_OI,0,COLUMN())</f>
        <v>168</v>
      </c>
      <c r="BG39" s="336">
        <f t="shared" si="122"/>
        <v>167</v>
      </c>
      <c r="BH39" s="906">
        <f>INDEX(MO_RIS_OI,0,COLUMN())</f>
        <v>173</v>
      </c>
      <c r="BI39" s="146">
        <f t="shared" si="122"/>
        <v>80</v>
      </c>
      <c r="BJ39" s="1284">
        <f t="shared" si="122"/>
        <v>588</v>
      </c>
      <c r="BK39" s="146">
        <f t="shared" si="123" ref="BK39:BR39">INDEX(MO_RIS_OI,0,COLUMN())</f>
        <v>80</v>
      </c>
      <c r="BL39" s="146">
        <f t="shared" si="123"/>
        <v>80</v>
      </c>
      <c r="BM39" s="146">
        <f t="shared" si="123"/>
        <v>140</v>
      </c>
      <c r="BN39" s="146">
        <f t="shared" si="123"/>
        <v>80</v>
      </c>
      <c r="BO39" s="1284">
        <f t="shared" si="123"/>
        <v>380</v>
      </c>
      <c r="BP39" s="1283">
        <f t="shared" si="123"/>
        <v>520</v>
      </c>
      <c r="BQ39" s="1283">
        <f t="shared" si="123"/>
        <v>520</v>
      </c>
      <c r="BR39" s="1284">
        <f t="shared" si="123"/>
        <v>520</v>
      </c>
      <c r="BS39" s="146"/>
    </row>
    <row r="40" spans="1:71" s="708" customFormat="1" ht="15">
      <c r="A40" s="207" t="str">
        <f>INDEX(MO_RIS_OTI,0,COLUMN())</f>
        <v>One-time Items</v>
      </c>
      <c r="B40" s="208"/>
      <c r="C40" s="1285">
        <f t="shared" si="124" ref="C40:AU40">INDEX(MO_RIS_OTI,0,COLUMN())</f>
        <v>0</v>
      </c>
      <c r="D40" s="1285">
        <f t="shared" si="124"/>
        <v>0</v>
      </c>
      <c r="E40" s="1285">
        <f t="shared" si="124"/>
        <v>0</v>
      </c>
      <c r="F40" s="1285">
        <f t="shared" si="124"/>
        <v>0</v>
      </c>
      <c r="G40" s="1285">
        <f t="shared" si="124"/>
        <v>0</v>
      </c>
      <c r="H40" s="148">
        <f t="shared" si="124"/>
        <v>0</v>
      </c>
      <c r="I40" s="148">
        <f t="shared" si="124"/>
        <v>0</v>
      </c>
      <c r="J40" s="148">
        <f t="shared" si="124"/>
        <v>0</v>
      </c>
      <c r="K40" s="148">
        <f t="shared" si="124"/>
        <v>0</v>
      </c>
      <c r="L40" s="1285">
        <f t="shared" si="124"/>
        <v>0</v>
      </c>
      <c r="M40" s="148">
        <f t="shared" si="124"/>
        <v>0</v>
      </c>
      <c r="N40" s="148">
        <f t="shared" si="124"/>
        <v>0</v>
      </c>
      <c r="O40" s="148">
        <f t="shared" si="124"/>
        <v>0</v>
      </c>
      <c r="P40" s="148">
        <f t="shared" si="124"/>
        <v>0</v>
      </c>
      <c r="Q40" s="1285">
        <f t="shared" si="124"/>
        <v>0</v>
      </c>
      <c r="R40" s="148">
        <f t="shared" si="124"/>
        <v>0</v>
      </c>
      <c r="S40" s="148">
        <f t="shared" si="124"/>
        <v>0</v>
      </c>
      <c r="T40" s="148">
        <f t="shared" si="124"/>
        <v>0</v>
      </c>
      <c r="U40" s="148">
        <f t="shared" si="124"/>
        <v>0</v>
      </c>
      <c r="V40" s="1285">
        <f t="shared" si="124"/>
        <v>0</v>
      </c>
      <c r="W40" s="148">
        <f t="shared" si="124"/>
        <v>0</v>
      </c>
      <c r="X40" s="148">
        <f t="shared" si="124"/>
        <v>0</v>
      </c>
      <c r="Y40" s="148">
        <f t="shared" si="124"/>
        <v>0</v>
      </c>
      <c r="Z40" s="148">
        <f t="shared" si="124"/>
        <v>0</v>
      </c>
      <c r="AA40" s="1285">
        <f t="shared" si="124"/>
        <v>0</v>
      </c>
      <c r="AB40" s="148">
        <f t="shared" si="124"/>
        <v>0</v>
      </c>
      <c r="AC40" s="148">
        <f t="shared" si="124"/>
        <v>0</v>
      </c>
      <c r="AD40" s="148">
        <f t="shared" si="124"/>
        <v>0</v>
      </c>
      <c r="AE40" s="148">
        <f t="shared" si="124"/>
        <v>0</v>
      </c>
      <c r="AF40" s="1285">
        <f t="shared" si="124"/>
        <v>0</v>
      </c>
      <c r="AG40" s="148">
        <f t="shared" si="124"/>
        <v>0</v>
      </c>
      <c r="AH40" s="148">
        <f t="shared" si="124"/>
        <v>0</v>
      </c>
      <c r="AI40" s="148">
        <f t="shared" si="124"/>
        <v>0</v>
      </c>
      <c r="AJ40" s="148">
        <f t="shared" si="124"/>
        <v>0</v>
      </c>
      <c r="AK40" s="1285">
        <f t="shared" si="124"/>
        <v>0</v>
      </c>
      <c r="AL40" s="148">
        <f t="shared" si="125" ref="AL40:AQ40">INDEX(MO_RIS_OTI,0,COLUMN())</f>
        <v>0</v>
      </c>
      <c r="AM40" s="148">
        <f t="shared" si="125"/>
        <v>0</v>
      </c>
      <c r="AN40" s="148">
        <f t="shared" si="125"/>
        <v>0</v>
      </c>
      <c r="AO40" s="148">
        <f t="shared" si="125"/>
        <v>0</v>
      </c>
      <c r="AP40" s="1285">
        <f t="shared" si="125"/>
        <v>0</v>
      </c>
      <c r="AQ40" s="148">
        <f t="shared" si="125"/>
        <v>0</v>
      </c>
      <c r="AR40" s="148">
        <f t="shared" si="124"/>
        <v>0</v>
      </c>
      <c r="AS40" s="148">
        <f t="shared" si="124"/>
        <v>0</v>
      </c>
      <c r="AT40" s="148">
        <f t="shared" si="124"/>
        <v>0</v>
      </c>
      <c r="AU40" s="1285">
        <f t="shared" si="124"/>
        <v>0</v>
      </c>
      <c r="AV40" s="148">
        <f t="shared" si="126" ref="AV40:BE40">INDEX(MO_RIS_OTI,0,COLUMN())</f>
        <v>0</v>
      </c>
      <c r="AW40" s="148">
        <f t="shared" si="126"/>
        <v>0</v>
      </c>
      <c r="AX40" s="148">
        <f t="shared" si="126"/>
        <v>0</v>
      </c>
      <c r="AY40" s="148">
        <f t="shared" si="126"/>
        <v>0</v>
      </c>
      <c r="AZ40" s="1285">
        <f t="shared" si="126"/>
        <v>0</v>
      </c>
      <c r="BA40" s="148">
        <f t="shared" si="126"/>
        <v>0</v>
      </c>
      <c r="BB40" s="148">
        <f t="shared" si="126"/>
        <v>0</v>
      </c>
      <c r="BC40" s="148">
        <f>INDEX(MO_RIS_OTI,0,COLUMN())</f>
        <v>0</v>
      </c>
      <c r="BD40" s="148">
        <f t="shared" si="126"/>
        <v>0</v>
      </c>
      <c r="BE40" s="1285">
        <f t="shared" si="126"/>
        <v>0</v>
      </c>
      <c r="BF40" s="148">
        <f t="shared" si="127" ref="BF40:BJ40">INDEX(MO_RIS_OTI,0,COLUMN())</f>
        <v>0</v>
      </c>
      <c r="BG40" s="148">
        <f t="shared" si="127"/>
        <v>0</v>
      </c>
      <c r="BH40" s="907">
        <f>INDEX(MO_RIS_OTI,0,COLUMN())</f>
        <v>0</v>
      </c>
      <c r="BI40" s="148">
        <f t="shared" si="127"/>
        <v>0</v>
      </c>
      <c r="BJ40" s="1285">
        <f t="shared" si="127"/>
        <v>0</v>
      </c>
      <c r="BK40" s="148">
        <f t="shared" si="128" ref="BK40:BR40">INDEX(MO_RIS_OTI,0,COLUMN())</f>
        <v>0</v>
      </c>
      <c r="BL40" s="148">
        <f t="shared" si="128"/>
        <v>0</v>
      </c>
      <c r="BM40" s="148">
        <f t="shared" si="128"/>
        <v>0</v>
      </c>
      <c r="BN40" s="148">
        <f t="shared" si="128"/>
        <v>0</v>
      </c>
      <c r="BO40" s="1285">
        <f t="shared" si="128"/>
        <v>0</v>
      </c>
      <c r="BP40" s="1285">
        <f t="shared" si="128"/>
        <v>0</v>
      </c>
      <c r="BQ40" s="1285">
        <f t="shared" si="128"/>
        <v>0</v>
      </c>
      <c r="BR40" s="1285">
        <f t="shared" si="128"/>
        <v>0</v>
      </c>
      <c r="BS40" s="146"/>
    </row>
    <row r="41" spans="1:71" s="707" customFormat="1" ht="15">
      <c r="A41" s="216" t="str">
        <f>INDEX(MO_RIS_EBT,0,COLUMN())</f>
        <v>EBT</v>
      </c>
      <c r="B41" s="217"/>
      <c r="C41" s="1286">
        <f t="shared" si="129" ref="C41:AU41">INDEX(SP_GF_Rev,0,COLUMN())-INDEX(SP_GF_Loss,0,COLUMN())-INDEX(SP_GF_OOE,0,COLUMN())-INDEX(SP_GF_IE,0,COLUMN())-INDEX(SP_GF_OI,0,COLUMN())-INDEX(SP_GF_OTI,0,COLUMN())</f>
        <v>812</v>
      </c>
      <c r="D41" s="1286">
        <f t="shared" si="129"/>
        <v>689</v>
      </c>
      <c r="E41" s="1286">
        <f t="shared" si="129"/>
        <v>558</v>
      </c>
      <c r="F41" s="1286">
        <f t="shared" si="129"/>
        <v>537</v>
      </c>
      <c r="G41" s="1286">
        <f t="shared" si="129"/>
        <v>689</v>
      </c>
      <c r="H41" s="150">
        <f t="shared" si="129"/>
        <v>161</v>
      </c>
      <c r="I41" s="150">
        <f t="shared" si="129"/>
        <v>130</v>
      </c>
      <c r="J41" s="150">
        <f t="shared" si="129"/>
        <v>145</v>
      </c>
      <c r="K41" s="150">
        <f t="shared" si="129"/>
        <v>190</v>
      </c>
      <c r="L41" s="1286">
        <f t="shared" si="129"/>
        <v>626</v>
      </c>
      <c r="M41" s="150">
        <f t="shared" si="129"/>
        <v>30</v>
      </c>
      <c r="N41" s="150">
        <f t="shared" si="129"/>
        <v>226</v>
      </c>
      <c r="O41" s="150">
        <f t="shared" si="129"/>
        <v>99</v>
      </c>
      <c r="P41" s="150">
        <f t="shared" si="129"/>
        <v>210</v>
      </c>
      <c r="Q41" s="1286">
        <f t="shared" si="129"/>
        <v>565</v>
      </c>
      <c r="R41" s="150">
        <f t="shared" si="129"/>
        <v>156</v>
      </c>
      <c r="S41" s="150">
        <f t="shared" si="129"/>
        <v>136</v>
      </c>
      <c r="T41" s="150">
        <f t="shared" si="129"/>
        <v>178</v>
      </c>
      <c r="U41" s="150">
        <f t="shared" si="129"/>
        <v>317</v>
      </c>
      <c r="V41" s="1286">
        <f t="shared" si="129"/>
        <v>787</v>
      </c>
      <c r="W41" s="150">
        <f t="shared" si="129"/>
        <v>223</v>
      </c>
      <c r="X41" s="150">
        <f t="shared" si="129"/>
        <v>205</v>
      </c>
      <c r="Y41" s="150">
        <f t="shared" si="129"/>
        <v>29</v>
      </c>
      <c r="Z41" s="150">
        <f t="shared" si="129"/>
        <v>267</v>
      </c>
      <c r="AA41" s="1286">
        <f t="shared" si="129"/>
        <v>724</v>
      </c>
      <c r="AB41" s="150">
        <f t="shared" si="129"/>
        <v>174</v>
      </c>
      <c r="AC41" s="150">
        <f t="shared" si="129"/>
        <v>260</v>
      </c>
      <c r="AD41" s="150">
        <f t="shared" si="129"/>
        <v>244</v>
      </c>
      <c r="AE41" s="150">
        <f t="shared" si="129"/>
        <v>-39</v>
      </c>
      <c r="AF41" s="1286">
        <f t="shared" si="129"/>
        <v>639</v>
      </c>
      <c r="AG41" s="150">
        <f t="shared" si="129"/>
        <v>413</v>
      </c>
      <c r="AH41" s="150">
        <f t="shared" si="129"/>
        <v>259</v>
      </c>
      <c r="AI41" s="150">
        <f t="shared" si="129"/>
        <v>177</v>
      </c>
      <c r="AJ41" s="150">
        <f t="shared" si="129"/>
        <v>259</v>
      </c>
      <c r="AK41" s="1286">
        <f t="shared" si="129"/>
        <v>1108</v>
      </c>
      <c r="AL41" s="150">
        <f t="shared" si="130" ref="AL41:AQ41">INDEX(SP_GF_Rev,0,COLUMN())-INDEX(SP_GF_Loss,0,COLUMN())-INDEX(SP_GF_OOE,0,COLUMN())-INDEX(SP_GF_IE,0,COLUMN())-INDEX(SP_GF_OI,0,COLUMN())-INDEX(SP_GF_OTI,0,COLUMN())</f>
        <v>-185</v>
      </c>
      <c r="AM41" s="150">
        <f t="shared" si="130"/>
        <v>140</v>
      </c>
      <c r="AN41" s="150">
        <f t="shared" si="130"/>
        <v>40</v>
      </c>
      <c r="AO41" s="150">
        <f t="shared" si="130"/>
        <v>344</v>
      </c>
      <c r="AP41" s="1286">
        <f t="shared" si="130"/>
        <v>339</v>
      </c>
      <c r="AQ41" s="150">
        <f t="shared" si="130"/>
        <v>335</v>
      </c>
      <c r="AR41" s="150">
        <f t="shared" si="129"/>
        <v>288</v>
      </c>
      <c r="AS41" s="150">
        <f t="shared" si="129"/>
        <v>267</v>
      </c>
      <c r="AT41" s="150">
        <f t="shared" si="129"/>
        <v>445</v>
      </c>
      <c r="AU41" s="1286">
        <f t="shared" si="129"/>
        <v>1335</v>
      </c>
      <c r="AV41" s="150">
        <f t="shared" si="131" ref="AV41:BE41">INDEX(SP_GF_Rev,0,COLUMN())-INDEX(SP_GF_Loss,0,COLUMN())-INDEX(SP_GF_OOE,0,COLUMN())-INDEX(SP_GF_IE,0,COLUMN())-INDEX(SP_GF_OI,0,COLUMN())-INDEX(SP_GF_OTI,0,COLUMN())</f>
        <v>361</v>
      </c>
      <c r="AW41" s="150">
        <f t="shared" si="131"/>
        <v>206</v>
      </c>
      <c r="AX41" s="150">
        <f t="shared" si="131"/>
        <v>210</v>
      </c>
      <c r="AY41" s="150">
        <f t="shared" si="131"/>
        <v>346</v>
      </c>
      <c r="AZ41" s="1286">
        <f t="shared" si="131"/>
        <v>1123</v>
      </c>
      <c r="BA41" s="150">
        <f t="shared" si="131"/>
        <v>264</v>
      </c>
      <c r="BB41" s="150">
        <f t="shared" si="131"/>
        <v>255</v>
      </c>
      <c r="BC41" s="150">
        <f>INDEX(SP_GF_Rev,0,COLUMN())-INDEX(SP_GF_Loss,0,COLUMN())-INDEX(SP_GF_OOE,0,COLUMN())-INDEX(SP_GF_IE,0,COLUMN())-INDEX(SP_GF_OI,0,COLUMN())-INDEX(SP_GF_OTI,0,COLUMN())</f>
        <v>219</v>
      </c>
      <c r="BD41" s="150">
        <f t="shared" si="131"/>
        <v>335</v>
      </c>
      <c r="BE41" s="1286">
        <f t="shared" si="131"/>
        <v>1073</v>
      </c>
      <c r="BF41" s="150">
        <f t="shared" si="132" ref="BF41:BJ41">INDEX(SP_GF_Rev,0,COLUMN())-INDEX(SP_GF_Loss,0,COLUMN())-INDEX(SP_GF_OOE,0,COLUMN())-INDEX(SP_GF_IE,0,COLUMN())-INDEX(SP_GF_OI,0,COLUMN())-INDEX(SP_GF_OTI,0,COLUMN())</f>
        <v>304</v>
      </c>
      <c r="BG41" s="150">
        <f t="shared" si="132"/>
        <v>271</v>
      </c>
      <c r="BH41" s="908">
        <f>INDEX(SP_GF_Rev,0,COLUMN())-INDEX(SP_GF_Loss,0,COLUMN())-INDEX(SP_GF_OOE,0,COLUMN())-INDEX(SP_GF_IE,0,COLUMN())-INDEX(SP_GF_OI,0,COLUMN())-INDEX(SP_GF_OTI,0,COLUMN())</f>
        <v>229</v>
      </c>
      <c r="BI41" s="150">
        <f t="shared" si="132"/>
        <v>420.67733073224031</v>
      </c>
      <c r="BJ41" s="1286">
        <f t="shared" si="132"/>
        <v>1224.6773307322408</v>
      </c>
      <c r="BK41" s="150">
        <f t="shared" si="133" ref="BK41:BR41">INDEX(SP_GF_Rev,0,COLUMN())-INDEX(SP_GF_Loss,0,COLUMN())-INDEX(SP_GF_OOE,0,COLUMN())-INDEX(SP_GF_IE,0,COLUMN())-INDEX(SP_GF_OI,0,COLUMN())-INDEX(SP_GF_OTI,0,COLUMN())</f>
        <v>488.93664291575351</v>
      </c>
      <c r="BL41" s="150">
        <f t="shared" si="133"/>
        <v>432.95408570136988</v>
      </c>
      <c r="BM41" s="150">
        <f t="shared" si="133"/>
        <v>399.7380463246576</v>
      </c>
      <c r="BN41" s="150">
        <f t="shared" si="133"/>
        <v>543.84110328356155</v>
      </c>
      <c r="BO41" s="1286">
        <f t="shared" si="133"/>
        <v>1865.4698782253417</v>
      </c>
      <c r="BP41" s="1286">
        <f t="shared" si="133"/>
        <v>1683.5974191994615</v>
      </c>
      <c r="BQ41" s="1286">
        <f t="shared" si="133"/>
        <v>1992.6955819178306</v>
      </c>
      <c r="BR41" s="1286">
        <f t="shared" si="133"/>
        <v>2083.7115128572236</v>
      </c>
      <c r="BS41" s="77"/>
    </row>
    <row r="42" spans="1:71" s="708" customFormat="1" ht="15">
      <c r="A42" s="205" t="s">
        <v>436</v>
      </c>
      <c r="B42" s="206"/>
      <c r="C42" s="1283">
        <f t="shared" si="134" ref="C42:AU42">INDEX(MO_RIS_Tax_Current,0,COLUMN())+INDEX(MO_RIS_Tax_Deferred,0,COLUMN())</f>
        <v>282</v>
      </c>
      <c r="D42" s="1283">
        <f t="shared" si="134"/>
        <v>266</v>
      </c>
      <c r="E42" s="1283">
        <f t="shared" si="134"/>
        <v>239</v>
      </c>
      <c r="F42" s="1283">
        <f t="shared" si="134"/>
        <v>135</v>
      </c>
      <c r="G42" s="1283">
        <f t="shared" si="134"/>
        <v>236</v>
      </c>
      <c r="H42" s="336">
        <f t="shared" si="134"/>
        <v>54</v>
      </c>
      <c r="I42" s="336">
        <f t="shared" si="134"/>
        <v>47</v>
      </c>
      <c r="J42" s="336">
        <f t="shared" si="134"/>
        <v>54</v>
      </c>
      <c r="K42" s="336">
        <f t="shared" si="134"/>
        <v>65</v>
      </c>
      <c r="L42" s="1283">
        <f t="shared" si="134"/>
        <v>220</v>
      </c>
      <c r="M42" s="336">
        <f t="shared" si="134"/>
        <v>5</v>
      </c>
      <c r="N42" s="336">
        <f t="shared" si="134"/>
        <v>77</v>
      </c>
      <c r="O42" s="336">
        <f t="shared" si="134"/>
        <v>33</v>
      </c>
      <c r="P42" s="336">
        <f t="shared" si="134"/>
        <v>80</v>
      </c>
      <c r="Q42" s="1283">
        <f t="shared" si="134"/>
        <v>195</v>
      </c>
      <c r="R42" s="336">
        <f t="shared" si="134"/>
        <v>52</v>
      </c>
      <c r="S42" s="336">
        <f t="shared" si="134"/>
        <v>73</v>
      </c>
      <c r="T42" s="336">
        <f t="shared" si="134"/>
        <v>65</v>
      </c>
      <c r="U42" s="336">
        <f t="shared" si="134"/>
        <v>-71</v>
      </c>
      <c r="V42" s="1283">
        <f t="shared" si="134"/>
        <v>119</v>
      </c>
      <c r="W42" s="336">
        <f t="shared" si="134"/>
        <v>68</v>
      </c>
      <c r="X42" s="336">
        <f t="shared" si="134"/>
        <v>60</v>
      </c>
      <c r="Y42" s="336">
        <f t="shared" si="134"/>
        <v>18</v>
      </c>
      <c r="Z42" s="336">
        <f t="shared" si="134"/>
        <v>101</v>
      </c>
      <c r="AA42" s="1283">
        <f t="shared" si="134"/>
        <v>247</v>
      </c>
      <c r="AB42" s="336">
        <f t="shared" si="134"/>
        <v>33</v>
      </c>
      <c r="AC42" s="336">
        <f t="shared" si="134"/>
        <v>52</v>
      </c>
      <c r="AD42" s="336">
        <f t="shared" si="134"/>
        <v>41</v>
      </c>
      <c r="AE42" s="336">
        <f t="shared" si="134"/>
        <v>-4</v>
      </c>
      <c r="AF42" s="1283">
        <f t="shared" si="134"/>
        <v>122</v>
      </c>
      <c r="AG42" s="336">
        <f t="shared" si="134"/>
        <v>87</v>
      </c>
      <c r="AH42" s="336">
        <f t="shared" si="134"/>
        <v>50</v>
      </c>
      <c r="AI42" s="336">
        <f t="shared" si="134"/>
        <v>34</v>
      </c>
      <c r="AJ42" s="336">
        <f t="shared" si="134"/>
        <v>68</v>
      </c>
      <c r="AK42" s="1283">
        <f t="shared" si="134"/>
        <v>239</v>
      </c>
      <c r="AL42" s="336">
        <f t="shared" si="135" ref="AL42:AQ42">INDEX(MO_RIS_Tax_Current,0,COLUMN())+INDEX(MO_RIS_Tax_Deferred,0,COLUMN())</f>
        <v>-41</v>
      </c>
      <c r="AM42" s="336">
        <f t="shared" si="135"/>
        <v>37</v>
      </c>
      <c r="AN42" s="336">
        <f t="shared" si="135"/>
        <v>-48</v>
      </c>
      <c r="AO42" s="336">
        <f t="shared" si="135"/>
        <v>77</v>
      </c>
      <c r="AP42" s="1283">
        <f t="shared" si="135"/>
        <v>25</v>
      </c>
      <c r="AQ42" s="336">
        <f t="shared" si="135"/>
        <v>68</v>
      </c>
      <c r="AR42" s="336">
        <f t="shared" si="134"/>
        <v>48</v>
      </c>
      <c r="AS42" s="336">
        <f t="shared" si="134"/>
        <v>48</v>
      </c>
      <c r="AT42" s="336">
        <f t="shared" si="134"/>
        <v>90</v>
      </c>
      <c r="AU42" s="1283">
        <f t="shared" si="134"/>
        <v>254</v>
      </c>
      <c r="AV42" s="336">
        <f t="shared" si="136" ref="AV42:BE42">INDEX(MO_RIS_Tax_Current,0,COLUMN())+INDEX(MO_RIS_Tax_Deferred,0,COLUMN())</f>
        <v>71</v>
      </c>
      <c r="AW42" s="336">
        <f t="shared" si="136"/>
        <v>39</v>
      </c>
      <c r="AX42" s="336">
        <f t="shared" si="136"/>
        <v>45</v>
      </c>
      <c r="AY42" s="336">
        <f t="shared" si="136"/>
        <v>70</v>
      </c>
      <c r="AZ42" s="1283">
        <f t="shared" si="136"/>
        <v>225</v>
      </c>
      <c r="BA42" s="336">
        <f t="shared" si="136"/>
        <v>52</v>
      </c>
      <c r="BB42" s="336">
        <f t="shared" si="136"/>
        <v>55</v>
      </c>
      <c r="BC42" s="336">
        <f>INDEX(MO_RIS_Tax_Current,0,COLUMN())+INDEX(MO_RIS_Tax_Deferred,0,COLUMN())</f>
        <v>42</v>
      </c>
      <c r="BD42" s="336">
        <f t="shared" si="136"/>
        <v>72</v>
      </c>
      <c r="BE42" s="1283">
        <f t="shared" si="136"/>
        <v>221</v>
      </c>
      <c r="BF42" s="336">
        <f t="shared" si="137" ref="BF42:BJ42">INDEX(MO_RIS_Tax_Current,0,COLUMN())+INDEX(MO_RIS_Tax_Deferred,0,COLUMN())</f>
        <v>62</v>
      </c>
      <c r="BG42" s="336">
        <f t="shared" si="137"/>
        <v>62</v>
      </c>
      <c r="BH42" s="906">
        <f>INDEX(MO_RIS_Tax_Current,0,COLUMN())+INDEX(MO_RIS_Tax_Deferred,0,COLUMN())</f>
        <v>48</v>
      </c>
      <c r="BI42" s="146">
        <f t="shared" si="137"/>
        <v>105.16933268306008</v>
      </c>
      <c r="BJ42" s="1284">
        <f t="shared" si="137"/>
        <v>277.16933268306008</v>
      </c>
      <c r="BK42" s="146">
        <f t="shared" si="138" ref="BK42:BR42">INDEX(MO_RIS_Tax_Current,0,COLUMN())+INDEX(MO_RIS_Tax_Deferred,0,COLUMN())</f>
        <v>195.57465716630142</v>
      </c>
      <c r="BL42" s="146">
        <f t="shared" si="138"/>
        <v>173.18163428054797</v>
      </c>
      <c r="BM42" s="146">
        <f t="shared" si="138"/>
        <v>119.92141389739724</v>
      </c>
      <c r="BN42" s="146">
        <f t="shared" si="138"/>
        <v>206.6596192477534</v>
      </c>
      <c r="BO42" s="1284">
        <f t="shared" si="138"/>
        <v>695.33732459200007</v>
      </c>
      <c r="BP42" s="1283">
        <f t="shared" si="138"/>
        <v>420.89935479986536</v>
      </c>
      <c r="BQ42" s="1283">
        <f t="shared" si="138"/>
        <v>428.4295501123334</v>
      </c>
      <c r="BR42" s="1284">
        <f t="shared" si="138"/>
        <v>447.99797526430291</v>
      </c>
      <c r="BS42" s="146"/>
    </row>
    <row r="43" spans="1:71" s="708" customFormat="1" ht="15">
      <c r="A43" s="205" t="str">
        <f>INDEX(MO_RIS_EI,0,COLUMN())</f>
        <v>Earnings from Equity Investments</v>
      </c>
      <c r="B43" s="206"/>
      <c r="C43" s="1283">
        <f t="shared" si="139" ref="C43:AU43">INDEX(MO_RIS_EI,0,COLUMN())</f>
        <v>0</v>
      </c>
      <c r="D43" s="1283">
        <f t="shared" si="139"/>
        <v>0</v>
      </c>
      <c r="E43" s="1283">
        <f t="shared" si="139"/>
        <v>0</v>
      </c>
      <c r="F43" s="1283">
        <f t="shared" si="139"/>
        <v>0</v>
      </c>
      <c r="G43" s="1283">
        <f t="shared" si="139"/>
        <v>0</v>
      </c>
      <c r="H43" s="336">
        <f t="shared" si="139"/>
        <v>0</v>
      </c>
      <c r="I43" s="336">
        <f t="shared" si="139"/>
        <v>0</v>
      </c>
      <c r="J43" s="336">
        <f t="shared" si="139"/>
        <v>0</v>
      </c>
      <c r="K43" s="336">
        <f t="shared" si="139"/>
        <v>0</v>
      </c>
      <c r="L43" s="1283">
        <f t="shared" si="139"/>
        <v>0</v>
      </c>
      <c r="M43" s="336">
        <f t="shared" si="139"/>
        <v>0</v>
      </c>
      <c r="N43" s="336">
        <f t="shared" si="139"/>
        <v>0</v>
      </c>
      <c r="O43" s="336">
        <f t="shared" si="139"/>
        <v>0</v>
      </c>
      <c r="P43" s="336">
        <f t="shared" si="139"/>
        <v>0</v>
      </c>
      <c r="Q43" s="1283">
        <f t="shared" si="139"/>
        <v>0</v>
      </c>
      <c r="R43" s="336">
        <f t="shared" si="139"/>
        <v>0</v>
      </c>
      <c r="S43" s="336">
        <f t="shared" si="139"/>
        <v>0</v>
      </c>
      <c r="T43" s="336">
        <f t="shared" si="139"/>
        <v>0</v>
      </c>
      <c r="U43" s="336">
        <f t="shared" si="139"/>
        <v>0</v>
      </c>
      <c r="V43" s="1283">
        <f t="shared" si="139"/>
        <v>0</v>
      </c>
      <c r="W43" s="336">
        <f t="shared" si="139"/>
        <v>0</v>
      </c>
      <c r="X43" s="336">
        <f t="shared" si="139"/>
        <v>0</v>
      </c>
      <c r="Y43" s="336">
        <f t="shared" si="139"/>
        <v>0</v>
      </c>
      <c r="Z43" s="336">
        <f t="shared" si="139"/>
        <v>0</v>
      </c>
      <c r="AA43" s="1283">
        <f t="shared" si="139"/>
        <v>0</v>
      </c>
      <c r="AB43" s="336">
        <f t="shared" si="139"/>
        <v>0</v>
      </c>
      <c r="AC43" s="336">
        <f t="shared" si="139"/>
        <v>0</v>
      </c>
      <c r="AD43" s="336">
        <f t="shared" si="139"/>
        <v>0</v>
      </c>
      <c r="AE43" s="336">
        <f t="shared" si="139"/>
        <v>0</v>
      </c>
      <c r="AF43" s="1283">
        <f t="shared" si="139"/>
        <v>0</v>
      </c>
      <c r="AG43" s="336">
        <f t="shared" si="139"/>
        <v>0</v>
      </c>
      <c r="AH43" s="336">
        <f t="shared" si="139"/>
        <v>0</v>
      </c>
      <c r="AI43" s="336">
        <f t="shared" si="139"/>
        <v>0</v>
      </c>
      <c r="AJ43" s="336">
        <f t="shared" si="139"/>
        <v>0</v>
      </c>
      <c r="AK43" s="1283">
        <f t="shared" si="139"/>
        <v>0</v>
      </c>
      <c r="AL43" s="336">
        <f t="shared" si="140" ref="AL43:AQ43">INDEX(MO_RIS_EI,0,COLUMN())</f>
        <v>0</v>
      </c>
      <c r="AM43" s="336">
        <f t="shared" si="140"/>
        <v>0</v>
      </c>
      <c r="AN43" s="336">
        <f t="shared" si="140"/>
        <v>0</v>
      </c>
      <c r="AO43" s="336">
        <f t="shared" si="140"/>
        <v>0</v>
      </c>
      <c r="AP43" s="1283">
        <f t="shared" si="140"/>
        <v>0</v>
      </c>
      <c r="AQ43" s="336">
        <f t="shared" si="140"/>
        <v>0</v>
      </c>
      <c r="AR43" s="336">
        <f t="shared" si="139"/>
        <v>0</v>
      </c>
      <c r="AS43" s="336">
        <f t="shared" si="139"/>
        <v>0</v>
      </c>
      <c r="AT43" s="336">
        <f t="shared" si="139"/>
        <v>0</v>
      </c>
      <c r="AU43" s="1283">
        <f t="shared" si="139"/>
        <v>0</v>
      </c>
      <c r="AV43" s="336">
        <f t="shared" si="141" ref="AV43:BE43">INDEX(MO_RIS_EI,0,COLUMN())</f>
        <v>0</v>
      </c>
      <c r="AW43" s="336">
        <f t="shared" si="141"/>
        <v>0</v>
      </c>
      <c r="AX43" s="336">
        <f t="shared" si="141"/>
        <v>0</v>
      </c>
      <c r="AY43" s="336">
        <f t="shared" si="141"/>
        <v>0</v>
      </c>
      <c r="AZ43" s="1283">
        <f t="shared" si="141"/>
        <v>0</v>
      </c>
      <c r="BA43" s="336">
        <f t="shared" si="141"/>
        <v>0</v>
      </c>
      <c r="BB43" s="336">
        <f t="shared" si="141"/>
        <v>0</v>
      </c>
      <c r="BC43" s="336">
        <f>INDEX(MO_RIS_EI,0,COLUMN())</f>
        <v>0</v>
      </c>
      <c r="BD43" s="336">
        <f t="shared" si="141"/>
        <v>0</v>
      </c>
      <c r="BE43" s="1283">
        <f t="shared" si="141"/>
        <v>0</v>
      </c>
      <c r="BF43" s="336">
        <f t="shared" si="142" ref="BF43:BJ43">INDEX(MO_RIS_EI,0,COLUMN())</f>
        <v>0</v>
      </c>
      <c r="BG43" s="336">
        <f t="shared" si="142"/>
        <v>0</v>
      </c>
      <c r="BH43" s="906">
        <f>INDEX(MO_RIS_EI,0,COLUMN())</f>
        <v>0</v>
      </c>
      <c r="BI43" s="146">
        <f t="shared" si="142"/>
        <v>0</v>
      </c>
      <c r="BJ43" s="1284">
        <f t="shared" si="142"/>
        <v>0</v>
      </c>
      <c r="BK43" s="146">
        <f t="shared" si="143" ref="BK43:BR43">INDEX(MO_RIS_EI,0,COLUMN())</f>
        <v>0</v>
      </c>
      <c r="BL43" s="146">
        <f t="shared" si="143"/>
        <v>0</v>
      </c>
      <c r="BM43" s="146">
        <f t="shared" si="143"/>
        <v>0</v>
      </c>
      <c r="BN43" s="146">
        <f t="shared" si="143"/>
        <v>0</v>
      </c>
      <c r="BO43" s="1284">
        <f t="shared" si="143"/>
        <v>0</v>
      </c>
      <c r="BP43" s="1283">
        <f t="shared" si="143"/>
        <v>0</v>
      </c>
      <c r="BQ43" s="1283">
        <f t="shared" si="143"/>
        <v>0</v>
      </c>
      <c r="BR43" s="1284">
        <f t="shared" si="143"/>
        <v>0</v>
      </c>
      <c r="BS43" s="146"/>
    </row>
    <row r="44" spans="1:71" s="708" customFormat="1" ht="15">
      <c r="A44" s="205" t="str">
        <f>INDEX(MO_RIS_DisCont,0,COLUMN())</f>
        <v>Discontinued Operations</v>
      </c>
      <c r="B44" s="206"/>
      <c r="C44" s="1283">
        <f t="shared" si="144" ref="C44:AU44">INDEX(MO_RIS_DisCont,0,COLUMN())</f>
        <v>0</v>
      </c>
      <c r="D44" s="1283">
        <f t="shared" si="144"/>
        <v>0</v>
      </c>
      <c r="E44" s="1283">
        <f t="shared" si="144"/>
        <v>0</v>
      </c>
      <c r="F44" s="1283">
        <f t="shared" si="144"/>
        <v>0</v>
      </c>
      <c r="G44" s="1283">
        <f t="shared" si="144"/>
        <v>0</v>
      </c>
      <c r="H44" s="336">
        <f t="shared" si="144"/>
        <v>0</v>
      </c>
      <c r="I44" s="336">
        <f t="shared" si="144"/>
        <v>0</v>
      </c>
      <c r="J44" s="336">
        <f t="shared" si="144"/>
        <v>0</v>
      </c>
      <c r="K44" s="336">
        <f t="shared" si="144"/>
        <v>0</v>
      </c>
      <c r="L44" s="1283">
        <f t="shared" si="144"/>
        <v>0</v>
      </c>
      <c r="M44" s="336">
        <f t="shared" si="144"/>
        <v>0</v>
      </c>
      <c r="N44" s="336">
        <f t="shared" si="144"/>
        <v>0</v>
      </c>
      <c r="O44" s="336">
        <f t="shared" si="144"/>
        <v>0</v>
      </c>
      <c r="P44" s="336">
        <f t="shared" si="144"/>
        <v>0</v>
      </c>
      <c r="Q44" s="1283">
        <f t="shared" si="144"/>
        <v>0</v>
      </c>
      <c r="R44" s="336">
        <f t="shared" si="144"/>
        <v>0</v>
      </c>
      <c r="S44" s="336">
        <f t="shared" si="144"/>
        <v>0</v>
      </c>
      <c r="T44" s="336">
        <f t="shared" si="144"/>
        <v>0</v>
      </c>
      <c r="U44" s="336">
        <f t="shared" si="144"/>
        <v>0</v>
      </c>
      <c r="V44" s="1283">
        <f t="shared" si="144"/>
        <v>0</v>
      </c>
      <c r="W44" s="336">
        <f t="shared" si="144"/>
        <v>0</v>
      </c>
      <c r="X44" s="336">
        <f t="shared" si="144"/>
        <v>0</v>
      </c>
      <c r="Y44" s="336">
        <f t="shared" si="144"/>
        <v>0</v>
      </c>
      <c r="Z44" s="336">
        <f t="shared" si="144"/>
        <v>0</v>
      </c>
      <c r="AA44" s="1283">
        <f t="shared" si="144"/>
        <v>0</v>
      </c>
      <c r="AB44" s="336">
        <f t="shared" si="144"/>
        <v>0</v>
      </c>
      <c r="AC44" s="336">
        <f t="shared" si="144"/>
        <v>0</v>
      </c>
      <c r="AD44" s="336">
        <f t="shared" si="144"/>
        <v>0</v>
      </c>
      <c r="AE44" s="336">
        <f t="shared" si="144"/>
        <v>0</v>
      </c>
      <c r="AF44" s="1283">
        <f t="shared" si="144"/>
        <v>0</v>
      </c>
      <c r="AG44" s="336">
        <f t="shared" si="144"/>
        <v>0</v>
      </c>
      <c r="AH44" s="336">
        <f t="shared" si="144"/>
        <v>0</v>
      </c>
      <c r="AI44" s="336">
        <f t="shared" si="144"/>
        <v>0</v>
      </c>
      <c r="AJ44" s="336">
        <f t="shared" si="144"/>
        <v>0</v>
      </c>
      <c r="AK44" s="1283">
        <f t="shared" si="144"/>
        <v>0</v>
      </c>
      <c r="AL44" s="336">
        <f t="shared" si="145" ref="AL44:AQ44">INDEX(MO_RIS_DisCont,0,COLUMN())</f>
        <v>160</v>
      </c>
      <c r="AM44" s="336">
        <f t="shared" si="145"/>
        <v>-64</v>
      </c>
      <c r="AN44" s="336">
        <f t="shared" si="145"/>
        <v>-76</v>
      </c>
      <c r="AO44" s="336">
        <f t="shared" si="145"/>
        <v>-427</v>
      </c>
      <c r="AP44" s="1283">
        <f t="shared" si="145"/>
        <v>-407</v>
      </c>
      <c r="AQ44" s="336">
        <f t="shared" si="145"/>
        <v>-152</v>
      </c>
      <c r="AR44" s="336">
        <f t="shared" si="144"/>
        <v>-762</v>
      </c>
      <c r="AS44" s="336">
        <f t="shared" si="144"/>
        <v>0</v>
      </c>
      <c r="AT44" s="336">
        <f t="shared" si="144"/>
        <v>0</v>
      </c>
      <c r="AU44" s="1283">
        <f t="shared" si="144"/>
        <v>-914</v>
      </c>
      <c r="AV44" s="336">
        <f t="shared" si="146" ref="AV44:BE44">INDEX(MO_RIS_DisCont,0,COLUMN())</f>
        <v>0</v>
      </c>
      <c r="AW44" s="336">
        <f t="shared" si="146"/>
        <v>0</v>
      </c>
      <c r="AX44" s="336">
        <f t="shared" si="146"/>
        <v>0</v>
      </c>
      <c r="AY44" s="336">
        <f t="shared" si="146"/>
        <v>0</v>
      </c>
      <c r="AZ44" s="1283">
        <f t="shared" si="146"/>
        <v>0</v>
      </c>
      <c r="BA44" s="336">
        <f t="shared" si="146"/>
        <v>0</v>
      </c>
      <c r="BB44" s="336">
        <f t="shared" si="146"/>
        <v>0</v>
      </c>
      <c r="BC44" s="336">
        <f>INDEX(MO_RIS_DisCont,0,COLUMN())</f>
        <v>0</v>
      </c>
      <c r="BD44" s="336">
        <f t="shared" si="146"/>
        <v>0</v>
      </c>
      <c r="BE44" s="1283">
        <f t="shared" si="146"/>
        <v>0</v>
      </c>
      <c r="BF44" s="336">
        <f t="shared" si="147" ref="BF44:BJ44">INDEX(MO_RIS_DisCont,0,COLUMN())</f>
        <v>0</v>
      </c>
      <c r="BG44" s="336">
        <f t="shared" si="147"/>
        <v>0</v>
      </c>
      <c r="BH44" s="906">
        <f>INDEX(MO_RIS_DisCont,0,COLUMN())</f>
        <v>0</v>
      </c>
      <c r="BI44" s="146">
        <f t="shared" si="147"/>
        <v>0</v>
      </c>
      <c r="BJ44" s="1284">
        <f t="shared" si="147"/>
        <v>0</v>
      </c>
      <c r="BK44" s="146">
        <f t="shared" si="148" ref="BK44:BR44">INDEX(MO_RIS_DisCont,0,COLUMN())</f>
        <v>0</v>
      </c>
      <c r="BL44" s="146">
        <f t="shared" si="148"/>
        <v>0</v>
      </c>
      <c r="BM44" s="146">
        <f t="shared" si="148"/>
        <v>0</v>
      </c>
      <c r="BN44" s="146">
        <f t="shared" si="148"/>
        <v>0</v>
      </c>
      <c r="BO44" s="1284">
        <f t="shared" si="148"/>
        <v>0</v>
      </c>
      <c r="BP44" s="1283">
        <f t="shared" si="148"/>
        <v>0</v>
      </c>
      <c r="BQ44" s="1283">
        <f t="shared" si="148"/>
        <v>0</v>
      </c>
      <c r="BR44" s="1284">
        <f t="shared" si="148"/>
        <v>0</v>
      </c>
      <c r="BS44" s="146"/>
    </row>
    <row r="45" spans="1:71" s="708" customFormat="1" ht="15">
      <c r="A45" s="205" t="str">
        <f>INDEX(MO_RIS_NCI,0,COLUMN())</f>
        <v>Net Income to NCI</v>
      </c>
      <c r="B45" s="206"/>
      <c r="C45" s="1283">
        <f t="shared" si="149" ref="C45:AU45">INDEX(MO_RIS_NCI,0,COLUMN())</f>
        <v>11</v>
      </c>
      <c r="D45" s="1283">
        <f t="shared" si="149"/>
        <v>-56</v>
      </c>
      <c r="E45" s="1283">
        <f t="shared" si="149"/>
        <v>-23</v>
      </c>
      <c r="F45" s="1283">
        <f t="shared" si="149"/>
        <v>-86</v>
      </c>
      <c r="G45" s="1283">
        <f t="shared" si="149"/>
        <v>-18</v>
      </c>
      <c r="H45" s="336">
        <f t="shared" si="149"/>
        <v>4</v>
      </c>
      <c r="I45" s="336">
        <f t="shared" si="149"/>
        <v>-23</v>
      </c>
      <c r="J45" s="336">
        <f t="shared" si="149"/>
        <v>-25</v>
      </c>
      <c r="K45" s="336">
        <f t="shared" si="149"/>
        <v>-2</v>
      </c>
      <c r="L45" s="1283">
        <f t="shared" si="149"/>
        <v>-46</v>
      </c>
      <c r="M45" s="336">
        <f t="shared" si="149"/>
        <v>6</v>
      </c>
      <c r="N45" s="336">
        <f t="shared" si="149"/>
        <v>8</v>
      </c>
      <c r="O45" s="336">
        <f t="shared" si="149"/>
        <v>3</v>
      </c>
      <c r="P45" s="336">
        <f t="shared" si="149"/>
        <v>1</v>
      </c>
      <c r="Q45" s="1283">
        <f t="shared" si="149"/>
        <v>18</v>
      </c>
      <c r="R45" s="336">
        <f t="shared" si="149"/>
        <v>3</v>
      </c>
      <c r="S45" s="336">
        <f t="shared" si="149"/>
        <v>9</v>
      </c>
      <c r="T45" s="336">
        <f t="shared" si="149"/>
        <v>4</v>
      </c>
      <c r="U45" s="336">
        <f t="shared" si="149"/>
        <v>3</v>
      </c>
      <c r="V45" s="1283">
        <f t="shared" si="149"/>
        <v>19</v>
      </c>
      <c r="W45" s="336">
        <f t="shared" si="149"/>
        <v>2</v>
      </c>
      <c r="X45" s="336">
        <f t="shared" si="149"/>
        <v>0</v>
      </c>
      <c r="Y45" s="336">
        <f t="shared" si="149"/>
        <v>0</v>
      </c>
      <c r="Z45" s="336">
        <f t="shared" si="149"/>
        <v>0</v>
      </c>
      <c r="AA45" s="1283">
        <f t="shared" si="149"/>
        <v>2</v>
      </c>
      <c r="AB45" s="336">
        <f t="shared" si="149"/>
        <v>-4</v>
      </c>
      <c r="AC45" s="336">
        <f t="shared" si="149"/>
        <v>-2</v>
      </c>
      <c r="AD45" s="336">
        <f t="shared" si="149"/>
        <v>-1</v>
      </c>
      <c r="AE45" s="336">
        <f t="shared" si="149"/>
        <v>-6</v>
      </c>
      <c r="AF45" s="1283">
        <f t="shared" si="149"/>
        <v>-13</v>
      </c>
      <c r="AG45" s="336">
        <f t="shared" si="149"/>
        <v>-3</v>
      </c>
      <c r="AH45" s="336">
        <f t="shared" si="149"/>
        <v>-1</v>
      </c>
      <c r="AI45" s="336">
        <f t="shared" si="149"/>
        <v>-4</v>
      </c>
      <c r="AJ45" s="336">
        <f t="shared" si="149"/>
        <v>-20</v>
      </c>
      <c r="AK45" s="1283">
        <f t="shared" si="149"/>
        <v>-28</v>
      </c>
      <c r="AL45" s="336">
        <f t="shared" si="150" ref="AL45:AQ45">INDEX(MO_RIS_NCI,0,COLUMN())</f>
        <v>-3</v>
      </c>
      <c r="AM45" s="336">
        <f t="shared" si="150"/>
        <v>-10</v>
      </c>
      <c r="AN45" s="336">
        <f t="shared" si="150"/>
        <v>0</v>
      </c>
      <c r="AO45" s="336">
        <f t="shared" si="150"/>
        <v>2</v>
      </c>
      <c r="AP45" s="1283">
        <f t="shared" si="150"/>
        <v>-11</v>
      </c>
      <c r="AQ45" s="336">
        <f t="shared" si="150"/>
        <v>0</v>
      </c>
      <c r="AR45" s="336">
        <f t="shared" si="149"/>
        <v>0</v>
      </c>
      <c r="AS45" s="336">
        <f t="shared" si="149"/>
        <v>0</v>
      </c>
      <c r="AT45" s="336">
        <f t="shared" si="149"/>
        <v>0</v>
      </c>
      <c r="AU45" s="1283">
        <f t="shared" si="149"/>
        <v>0</v>
      </c>
      <c r="AV45" s="336">
        <f t="shared" si="151" ref="AV45:BE45">INDEX(MO_RIS_NCI,0,COLUMN())</f>
        <v>0</v>
      </c>
      <c r="AW45" s="336">
        <f t="shared" si="151"/>
        <v>0</v>
      </c>
      <c r="AX45" s="336">
        <f t="shared" si="151"/>
        <v>0</v>
      </c>
      <c r="AY45" s="336">
        <f t="shared" si="151"/>
        <v>0</v>
      </c>
      <c r="AZ45" s="1283">
        <f t="shared" si="151"/>
        <v>0</v>
      </c>
      <c r="BA45" s="336">
        <f t="shared" si="151"/>
        <v>0</v>
      </c>
      <c r="BB45" s="336">
        <f t="shared" si="151"/>
        <v>0</v>
      </c>
      <c r="BC45" s="336">
        <f>INDEX(MO_RIS_NCI,0,COLUMN())</f>
        <v>0</v>
      </c>
      <c r="BD45" s="336">
        <f t="shared" si="151"/>
        <v>0</v>
      </c>
      <c r="BE45" s="1283">
        <f t="shared" si="151"/>
        <v>0</v>
      </c>
      <c r="BF45" s="336">
        <f t="shared" si="152" ref="BF45:BJ45">INDEX(MO_RIS_NCI,0,COLUMN())</f>
        <v>0</v>
      </c>
      <c r="BG45" s="336">
        <f t="shared" si="152"/>
        <v>0</v>
      </c>
      <c r="BH45" s="906">
        <f>INDEX(MO_RIS_NCI,0,COLUMN())</f>
        <v>0</v>
      </c>
      <c r="BI45" s="146">
        <f t="shared" si="152"/>
        <v>0</v>
      </c>
      <c r="BJ45" s="1284">
        <f t="shared" si="152"/>
        <v>0</v>
      </c>
      <c r="BK45" s="146">
        <f t="shared" si="153" ref="BK45:BR45">INDEX(MO_RIS_NCI,0,COLUMN())</f>
        <v>0</v>
      </c>
      <c r="BL45" s="146">
        <f t="shared" si="153"/>
        <v>0</v>
      </c>
      <c r="BM45" s="146">
        <f t="shared" si="153"/>
        <v>0</v>
      </c>
      <c r="BN45" s="146">
        <f t="shared" si="153"/>
        <v>0</v>
      </c>
      <c r="BO45" s="1284">
        <f t="shared" si="153"/>
        <v>0</v>
      </c>
      <c r="BP45" s="1283">
        <f t="shared" si="153"/>
        <v>0</v>
      </c>
      <c r="BQ45" s="1283">
        <f t="shared" si="153"/>
        <v>0</v>
      </c>
      <c r="BR45" s="1284">
        <f t="shared" si="153"/>
        <v>0</v>
      </c>
      <c r="BS45" s="146"/>
    </row>
    <row r="46" spans="1:71" s="708" customFormat="1" ht="15">
      <c r="A46" s="207" t="str">
        <f>INDEX(MO_RIS_Dividend_Prefs,0,COLUMN())</f>
        <v>Earnings to Preferred and Other Securities</v>
      </c>
      <c r="B46" s="208"/>
      <c r="C46" s="1285">
        <f t="shared" si="154" ref="C46:AU46">INDEX(MO_RIS_Dividend_Prefs,0,COLUMN())</f>
        <v>0</v>
      </c>
      <c r="D46" s="1285">
        <f t="shared" si="154"/>
        <v>0</v>
      </c>
      <c r="E46" s="1285">
        <f t="shared" si="154"/>
        <v>0</v>
      </c>
      <c r="F46" s="1285">
        <f t="shared" si="154"/>
        <v>0</v>
      </c>
      <c r="G46" s="1285">
        <f t="shared" si="154"/>
        <v>0</v>
      </c>
      <c r="H46" s="148">
        <f t="shared" si="154"/>
        <v>0</v>
      </c>
      <c r="I46" s="148">
        <f t="shared" si="154"/>
        <v>0</v>
      </c>
      <c r="J46" s="148">
        <f t="shared" si="154"/>
        <v>0</v>
      </c>
      <c r="K46" s="148">
        <f t="shared" si="154"/>
        <v>0</v>
      </c>
      <c r="L46" s="1285">
        <f t="shared" si="154"/>
        <v>0</v>
      </c>
      <c r="M46" s="148">
        <f t="shared" si="154"/>
        <v>0</v>
      </c>
      <c r="N46" s="148">
        <f t="shared" si="154"/>
        <v>0</v>
      </c>
      <c r="O46" s="148">
        <f t="shared" si="154"/>
        <v>0</v>
      </c>
      <c r="P46" s="148">
        <f t="shared" si="154"/>
        <v>0</v>
      </c>
      <c r="Q46" s="1285">
        <f t="shared" si="154"/>
        <v>0</v>
      </c>
      <c r="R46" s="148">
        <f t="shared" si="154"/>
        <v>0</v>
      </c>
      <c r="S46" s="148">
        <f t="shared" si="154"/>
        <v>0</v>
      </c>
      <c r="T46" s="148">
        <f t="shared" si="154"/>
        <v>0</v>
      </c>
      <c r="U46" s="148">
        <f t="shared" si="154"/>
        <v>0</v>
      </c>
      <c r="V46" s="1285">
        <f t="shared" si="154"/>
        <v>0</v>
      </c>
      <c r="W46" s="148">
        <f t="shared" si="154"/>
        <v>0</v>
      </c>
      <c r="X46" s="148">
        <f t="shared" si="154"/>
        <v>0</v>
      </c>
      <c r="Y46" s="148">
        <f t="shared" si="154"/>
        <v>0</v>
      </c>
      <c r="Z46" s="148">
        <f t="shared" si="154"/>
        <v>0</v>
      </c>
      <c r="AA46" s="1285">
        <f t="shared" si="154"/>
        <v>0</v>
      </c>
      <c r="AB46" s="148">
        <f t="shared" si="154"/>
        <v>0</v>
      </c>
      <c r="AC46" s="148">
        <f t="shared" si="154"/>
        <v>0</v>
      </c>
      <c r="AD46" s="148">
        <f t="shared" si="154"/>
        <v>0</v>
      </c>
      <c r="AE46" s="148">
        <f t="shared" si="154"/>
        <v>0</v>
      </c>
      <c r="AF46" s="1285">
        <f t="shared" si="154"/>
        <v>0</v>
      </c>
      <c r="AG46" s="148">
        <f t="shared" si="154"/>
        <v>0</v>
      </c>
      <c r="AH46" s="148">
        <f t="shared" si="154"/>
        <v>0</v>
      </c>
      <c r="AI46" s="148">
        <f t="shared" si="154"/>
        <v>0</v>
      </c>
      <c r="AJ46" s="148">
        <f t="shared" si="154"/>
        <v>0</v>
      </c>
      <c r="AK46" s="1285">
        <f t="shared" si="154"/>
        <v>0</v>
      </c>
      <c r="AL46" s="148">
        <f t="shared" si="155" ref="AL46:AQ46">INDEX(MO_RIS_Dividend_Prefs,0,COLUMN())</f>
        <v>0</v>
      </c>
      <c r="AM46" s="148">
        <f t="shared" si="155"/>
        <v>0</v>
      </c>
      <c r="AN46" s="148">
        <f t="shared" si="155"/>
        <v>0</v>
      </c>
      <c r="AO46" s="148">
        <f t="shared" si="155"/>
        <v>0</v>
      </c>
      <c r="AP46" s="1285">
        <f t="shared" si="155"/>
        <v>0</v>
      </c>
      <c r="AQ46" s="148">
        <f t="shared" si="155"/>
        <v>0</v>
      </c>
      <c r="AR46" s="148">
        <f t="shared" si="154"/>
        <v>0</v>
      </c>
      <c r="AS46" s="148">
        <f t="shared" si="154"/>
        <v>0</v>
      </c>
      <c r="AT46" s="148">
        <f t="shared" si="154"/>
        <v>0</v>
      </c>
      <c r="AU46" s="1285">
        <f t="shared" si="154"/>
        <v>0</v>
      </c>
      <c r="AV46" s="148">
        <f t="shared" si="156" ref="AV46:BE46">INDEX(MO_RIS_Dividend_Prefs,0,COLUMN())</f>
        <v>0</v>
      </c>
      <c r="AW46" s="148">
        <f t="shared" si="156"/>
        <v>0</v>
      </c>
      <c r="AX46" s="148">
        <f t="shared" si="156"/>
        <v>0</v>
      </c>
      <c r="AY46" s="148">
        <f t="shared" si="156"/>
        <v>0</v>
      </c>
      <c r="AZ46" s="1285">
        <f t="shared" si="156"/>
        <v>0</v>
      </c>
      <c r="BA46" s="148">
        <f t="shared" si="156"/>
        <v>0</v>
      </c>
      <c r="BB46" s="148">
        <f t="shared" si="156"/>
        <v>0</v>
      </c>
      <c r="BC46" s="148">
        <f>INDEX(MO_RIS_Dividend_Prefs,0,COLUMN())</f>
        <v>0</v>
      </c>
      <c r="BD46" s="148">
        <f t="shared" si="156"/>
        <v>0</v>
      </c>
      <c r="BE46" s="1285">
        <f t="shared" si="156"/>
        <v>0</v>
      </c>
      <c r="BF46" s="148">
        <f t="shared" si="157" ref="BF46:BJ46">INDEX(MO_RIS_Dividend_Prefs,0,COLUMN())</f>
        <v>0</v>
      </c>
      <c r="BG46" s="148">
        <f t="shared" si="157"/>
        <v>0</v>
      </c>
      <c r="BH46" s="907">
        <f>INDEX(MO_RIS_Dividend_Prefs,0,COLUMN())</f>
        <v>0</v>
      </c>
      <c r="BI46" s="148">
        <f t="shared" si="157"/>
        <v>0</v>
      </c>
      <c r="BJ46" s="1285">
        <f t="shared" si="157"/>
        <v>0</v>
      </c>
      <c r="BK46" s="148">
        <f t="shared" si="158" ref="BK46:BR46">INDEX(MO_RIS_Dividend_Prefs,0,COLUMN())</f>
        <v>0</v>
      </c>
      <c r="BL46" s="148">
        <f t="shared" si="158"/>
        <v>0</v>
      </c>
      <c r="BM46" s="148">
        <f t="shared" si="158"/>
        <v>0</v>
      </c>
      <c r="BN46" s="148">
        <f t="shared" si="158"/>
        <v>0</v>
      </c>
      <c r="BO46" s="1285">
        <f t="shared" si="158"/>
        <v>0</v>
      </c>
      <c r="BP46" s="1285">
        <f t="shared" si="158"/>
        <v>0</v>
      </c>
      <c r="BQ46" s="1285">
        <f t="shared" si="158"/>
        <v>0</v>
      </c>
      <c r="BR46" s="1285">
        <f t="shared" si="158"/>
        <v>0</v>
      </c>
      <c r="BS46" s="146"/>
    </row>
    <row r="47" spans="1:71" s="707" customFormat="1" ht="15">
      <c r="A47" s="216" t="str">
        <f>INDEX(MO_RIS_NI_GAAP_Basic,0,COLUMN())</f>
        <v>Net Income to Common Shareholders</v>
      </c>
      <c r="B47" s="217"/>
      <c r="C47" s="1286">
        <f t="shared" si="159" ref="C47:AH47">INDEX(MO_RIS_NI_GAAP_Basic,0,COLUMN())</f>
        <v>519</v>
      </c>
      <c r="D47" s="1286">
        <f t="shared" si="159"/>
        <v>479</v>
      </c>
      <c r="E47" s="1286">
        <f t="shared" si="159"/>
        <v>342</v>
      </c>
      <c r="F47" s="1286">
        <f t="shared" si="159"/>
        <v>488</v>
      </c>
      <c r="G47" s="1286">
        <f t="shared" si="159"/>
        <v>471</v>
      </c>
      <c r="H47" s="150">
        <f t="shared" si="159"/>
        <v>103</v>
      </c>
      <c r="I47" s="150">
        <f t="shared" si="159"/>
        <v>106</v>
      </c>
      <c r="J47" s="150">
        <f t="shared" si="159"/>
        <v>116</v>
      </c>
      <c r="K47" s="150">
        <f t="shared" si="159"/>
        <v>127</v>
      </c>
      <c r="L47" s="1286">
        <f t="shared" si="159"/>
        <v>452</v>
      </c>
      <c r="M47" s="150">
        <f t="shared" si="159"/>
        <v>19</v>
      </c>
      <c r="N47" s="150">
        <f t="shared" si="159"/>
        <v>141</v>
      </c>
      <c r="O47" s="150">
        <f t="shared" si="159"/>
        <v>63</v>
      </c>
      <c r="P47" s="150">
        <f t="shared" si="159"/>
        <v>129</v>
      </c>
      <c r="Q47" s="1286">
        <f t="shared" si="159"/>
        <v>352</v>
      </c>
      <c r="R47" s="150">
        <f t="shared" si="159"/>
        <v>101</v>
      </c>
      <c r="S47" s="150">
        <f t="shared" si="159"/>
        <v>54</v>
      </c>
      <c r="T47" s="150">
        <f t="shared" si="159"/>
        <v>109</v>
      </c>
      <c r="U47" s="150">
        <f t="shared" si="159"/>
        <v>385</v>
      </c>
      <c r="V47" s="1286">
        <f t="shared" si="159"/>
        <v>649</v>
      </c>
      <c r="W47" s="150">
        <f t="shared" si="159"/>
        <v>153</v>
      </c>
      <c r="X47" s="150">
        <f t="shared" si="159"/>
        <v>145</v>
      </c>
      <c r="Y47" s="150">
        <f t="shared" si="159"/>
        <v>11</v>
      </c>
      <c r="Z47" s="150">
        <f t="shared" si="159"/>
        <v>166</v>
      </c>
      <c r="AA47" s="1286">
        <f t="shared" si="159"/>
        <v>475</v>
      </c>
      <c r="AB47" s="150">
        <f t="shared" si="159"/>
        <v>145</v>
      </c>
      <c r="AC47" s="150">
        <f t="shared" si="159"/>
        <v>210</v>
      </c>
      <c r="AD47" s="150">
        <f t="shared" si="159"/>
        <v>204</v>
      </c>
      <c r="AE47" s="150">
        <f t="shared" si="159"/>
        <v>-29</v>
      </c>
      <c r="AF47" s="1286">
        <f t="shared" si="159"/>
        <v>530</v>
      </c>
      <c r="AG47" s="150">
        <f t="shared" si="159"/>
        <v>329</v>
      </c>
      <c r="AH47" s="150">
        <f t="shared" si="159"/>
        <v>210</v>
      </c>
      <c r="AI47" s="150">
        <f t="shared" si="160" ref="AI47:BE47">INDEX(MO_RIS_NI_GAAP_Basic,0,COLUMN())</f>
        <v>147</v>
      </c>
      <c r="AJ47" s="150">
        <f t="shared" si="160"/>
        <v>211</v>
      </c>
      <c r="AK47" s="1286">
        <f t="shared" si="160"/>
        <v>897</v>
      </c>
      <c r="AL47" s="150">
        <f t="shared" si="160"/>
        <v>-301</v>
      </c>
      <c r="AM47" s="150">
        <f t="shared" si="160"/>
        <v>177</v>
      </c>
      <c r="AN47" s="150">
        <f t="shared" si="160"/>
        <v>164</v>
      </c>
      <c r="AO47" s="150">
        <f t="shared" si="160"/>
        <v>692</v>
      </c>
      <c r="AP47" s="1286">
        <f t="shared" si="160"/>
        <v>732</v>
      </c>
      <c r="AQ47" s="150">
        <f t="shared" si="160"/>
        <v>419</v>
      </c>
      <c r="AR47" s="150">
        <f t="shared" si="160"/>
        <v>1002</v>
      </c>
      <c r="AS47" s="150">
        <f t="shared" si="160"/>
        <v>219</v>
      </c>
      <c r="AT47" s="150">
        <f t="shared" si="160"/>
        <v>355</v>
      </c>
      <c r="AU47" s="1286">
        <f t="shared" si="160"/>
        <v>1995</v>
      </c>
      <c r="AV47" s="150">
        <f t="shared" si="160"/>
        <v>290</v>
      </c>
      <c r="AW47" s="150">
        <f t="shared" si="160"/>
        <v>167</v>
      </c>
      <c r="AX47" s="150">
        <f t="shared" si="160"/>
        <v>165</v>
      </c>
      <c r="AY47" s="150">
        <f t="shared" si="160"/>
        <v>276</v>
      </c>
      <c r="AZ47" s="1286">
        <f t="shared" si="160"/>
        <v>898</v>
      </c>
      <c r="BA47" s="150">
        <f t="shared" si="160"/>
        <v>212</v>
      </c>
      <c r="BB47" s="150">
        <f t="shared" si="160"/>
        <v>200</v>
      </c>
      <c r="BC47" s="150">
        <f>INDEX(MO_RIS_NI_GAAP_Basic,0,COLUMN())</f>
        <v>177</v>
      </c>
      <c r="BD47" s="150">
        <f t="shared" si="160"/>
        <v>263</v>
      </c>
      <c r="BE47" s="1286">
        <f t="shared" si="160"/>
        <v>852</v>
      </c>
      <c r="BF47" s="150">
        <f t="shared" si="161" ref="BF47:BJ47">INDEX(MO_RIS_NI_GAAP_Basic,0,COLUMN())</f>
        <v>242</v>
      </c>
      <c r="BG47" s="150">
        <f t="shared" si="161"/>
        <v>209</v>
      </c>
      <c r="BH47" s="908">
        <f>INDEX(MO_RIS_NI_GAAP_Basic,0,COLUMN())</f>
        <v>181</v>
      </c>
      <c r="BI47" s="150">
        <f t="shared" si="161"/>
        <v>315.50799804918023</v>
      </c>
      <c r="BJ47" s="1286">
        <f t="shared" si="161"/>
        <v>947.50799804918097</v>
      </c>
      <c r="BK47" s="150">
        <f t="shared" si="162" ref="BK47:BR47">INDEX(MO_RIS_NI_GAAP_Basic,0,COLUMN())</f>
        <v>293.36198574945206</v>
      </c>
      <c r="BL47" s="150">
        <f t="shared" si="162"/>
        <v>259.77245142082188</v>
      </c>
      <c r="BM47" s="150">
        <f t="shared" si="162"/>
        <v>279.81663242726023</v>
      </c>
      <c r="BN47" s="150">
        <f t="shared" si="162"/>
        <v>337.18148403580813</v>
      </c>
      <c r="BO47" s="1286">
        <f t="shared" si="162"/>
        <v>1170.1325536333416</v>
      </c>
      <c r="BP47" s="1286">
        <f t="shared" si="162"/>
        <v>1262.6980643995962</v>
      </c>
      <c r="BQ47" s="1286">
        <f t="shared" si="162"/>
        <v>1564.2660318054973</v>
      </c>
      <c r="BR47" s="1286">
        <f t="shared" si="162"/>
        <v>1635.7135375929206</v>
      </c>
      <c r="BS47" s="77"/>
    </row>
    <row r="48" spans="1:71" s="707" customFormat="1" ht="15">
      <c r="A48" s="648" t="str">
        <f>INDEX(MO_RIS_Adjustments_Dilution_GAAP,0,COLUMN())</f>
        <v>Adjustments for Convertible Securities</v>
      </c>
      <c r="B48" s="649"/>
      <c r="C48" s="1283">
        <f t="shared" si="163" ref="C48:AH48">INDEX(MO_RIS_Adjustments_Dilution_GAAP,0,COLUMN())</f>
        <v>0</v>
      </c>
      <c r="D48" s="1283">
        <f t="shared" si="163"/>
        <v>0</v>
      </c>
      <c r="E48" s="1283">
        <f t="shared" si="163"/>
        <v>0</v>
      </c>
      <c r="F48" s="1283">
        <f t="shared" si="163"/>
        <v>0</v>
      </c>
      <c r="G48" s="1283">
        <f t="shared" si="163"/>
        <v>0</v>
      </c>
      <c r="H48" s="336">
        <f t="shared" si="163"/>
        <v>0</v>
      </c>
      <c r="I48" s="336">
        <f t="shared" si="163"/>
        <v>0</v>
      </c>
      <c r="J48" s="336">
        <f t="shared" si="163"/>
        <v>0</v>
      </c>
      <c r="K48" s="336">
        <f t="shared" si="163"/>
        <v>0</v>
      </c>
      <c r="L48" s="1283">
        <f t="shared" si="163"/>
        <v>0</v>
      </c>
      <c r="M48" s="336">
        <f t="shared" si="163"/>
        <v>0</v>
      </c>
      <c r="N48" s="336">
        <f t="shared" si="163"/>
        <v>0</v>
      </c>
      <c r="O48" s="336">
        <f t="shared" si="163"/>
        <v>0</v>
      </c>
      <c r="P48" s="336">
        <f t="shared" si="163"/>
        <v>0</v>
      </c>
      <c r="Q48" s="1283">
        <f t="shared" si="163"/>
        <v>0</v>
      </c>
      <c r="R48" s="336">
        <f t="shared" si="163"/>
        <v>0</v>
      </c>
      <c r="S48" s="336">
        <f t="shared" si="163"/>
        <v>0</v>
      </c>
      <c r="T48" s="336">
        <f t="shared" si="163"/>
        <v>0</v>
      </c>
      <c r="U48" s="336">
        <f t="shared" si="163"/>
        <v>0</v>
      </c>
      <c r="V48" s="1283">
        <f t="shared" si="163"/>
        <v>0</v>
      </c>
      <c r="W48" s="336">
        <f t="shared" si="163"/>
        <v>0</v>
      </c>
      <c r="X48" s="336">
        <f t="shared" si="163"/>
        <v>0</v>
      </c>
      <c r="Y48" s="336">
        <f t="shared" si="163"/>
        <v>0</v>
      </c>
      <c r="Z48" s="336">
        <f t="shared" si="163"/>
        <v>0</v>
      </c>
      <c r="AA48" s="1283">
        <f t="shared" si="163"/>
        <v>0</v>
      </c>
      <c r="AB48" s="336">
        <f t="shared" si="163"/>
        <v>0</v>
      </c>
      <c r="AC48" s="336">
        <f t="shared" si="163"/>
        <v>0</v>
      </c>
      <c r="AD48" s="336">
        <f t="shared" si="163"/>
        <v>0</v>
      </c>
      <c r="AE48" s="336">
        <f t="shared" si="163"/>
        <v>0</v>
      </c>
      <c r="AF48" s="1283">
        <f t="shared" si="163"/>
        <v>0</v>
      </c>
      <c r="AG48" s="336">
        <f t="shared" si="163"/>
        <v>0</v>
      </c>
      <c r="AH48" s="336">
        <f t="shared" si="163"/>
        <v>0</v>
      </c>
      <c r="AI48" s="336">
        <f t="shared" si="164" ref="AI48:BE48">INDEX(MO_RIS_Adjustments_Dilution_GAAP,0,COLUMN())</f>
        <v>0</v>
      </c>
      <c r="AJ48" s="336">
        <f t="shared" si="164"/>
        <v>0</v>
      </c>
      <c r="AK48" s="1283">
        <f t="shared" si="164"/>
        <v>0</v>
      </c>
      <c r="AL48" s="336">
        <f t="shared" si="164"/>
        <v>0</v>
      </c>
      <c r="AM48" s="336">
        <f t="shared" si="164"/>
        <v>0</v>
      </c>
      <c r="AN48" s="336">
        <f t="shared" si="164"/>
        <v>0</v>
      </c>
      <c r="AO48" s="336">
        <f t="shared" si="164"/>
        <v>0</v>
      </c>
      <c r="AP48" s="1283">
        <f t="shared" si="164"/>
        <v>0</v>
      </c>
      <c r="AQ48" s="336">
        <f t="shared" si="164"/>
        <v>0</v>
      </c>
      <c r="AR48" s="336">
        <f t="shared" si="164"/>
        <v>0</v>
      </c>
      <c r="AS48" s="336">
        <f t="shared" si="164"/>
        <v>0</v>
      </c>
      <c r="AT48" s="336">
        <f t="shared" si="164"/>
        <v>0</v>
      </c>
      <c r="AU48" s="1283">
        <f t="shared" si="164"/>
        <v>0</v>
      </c>
      <c r="AV48" s="336">
        <f t="shared" si="164"/>
        <v>0</v>
      </c>
      <c r="AW48" s="336">
        <f t="shared" si="164"/>
        <v>0</v>
      </c>
      <c r="AX48" s="336">
        <f t="shared" si="164"/>
        <v>0</v>
      </c>
      <c r="AY48" s="336">
        <f t="shared" si="164"/>
        <v>0</v>
      </c>
      <c r="AZ48" s="1283">
        <f t="shared" si="164"/>
        <v>0</v>
      </c>
      <c r="BA48" s="336">
        <f t="shared" si="164"/>
        <v>0</v>
      </c>
      <c r="BB48" s="336">
        <f t="shared" si="164"/>
        <v>0</v>
      </c>
      <c r="BC48" s="336">
        <f>INDEX(MO_RIS_Adjustments_Dilution_GAAP,0,COLUMN())</f>
        <v>0</v>
      </c>
      <c r="BD48" s="336">
        <f t="shared" si="164"/>
        <v>0</v>
      </c>
      <c r="BE48" s="1283">
        <f t="shared" si="164"/>
        <v>0</v>
      </c>
      <c r="BF48" s="336">
        <f t="shared" si="165" ref="BF48:BJ48">INDEX(MO_RIS_Adjustments_Dilution_GAAP,0,COLUMN())</f>
        <v>0</v>
      </c>
      <c r="BG48" s="336">
        <f t="shared" si="165"/>
        <v>0</v>
      </c>
      <c r="BH48" s="906">
        <f>INDEX(MO_RIS_Adjustments_Dilution_GAAP,0,COLUMN())</f>
        <v>0</v>
      </c>
      <c r="BI48" s="336">
        <f t="shared" si="165"/>
        <v>0</v>
      </c>
      <c r="BJ48" s="1283">
        <f t="shared" si="165"/>
        <v>0</v>
      </c>
      <c r="BK48" s="336">
        <f t="shared" si="166" ref="BK48:BR48">INDEX(MO_RIS_Adjustments_Dilution_GAAP,0,COLUMN())</f>
        <v>0</v>
      </c>
      <c r="BL48" s="336">
        <f t="shared" si="166"/>
        <v>0</v>
      </c>
      <c r="BM48" s="336">
        <f t="shared" si="166"/>
        <v>0</v>
      </c>
      <c r="BN48" s="336">
        <f t="shared" si="166"/>
        <v>0</v>
      </c>
      <c r="BO48" s="1283">
        <f t="shared" si="166"/>
        <v>0</v>
      </c>
      <c r="BP48" s="1283">
        <f t="shared" si="166"/>
        <v>0</v>
      </c>
      <c r="BQ48" s="1283">
        <f t="shared" si="166"/>
        <v>0</v>
      </c>
      <c r="BR48" s="1283">
        <f t="shared" si="166"/>
        <v>0</v>
      </c>
      <c r="BS48" s="77"/>
    </row>
    <row r="49" spans="1:71" s="707" customFormat="1" ht="15">
      <c r="A49" s="216" t="str">
        <f>INDEX(MO_RIS_NI_GAAP_Diluted,0,COLUMN())</f>
        <v>Diluted Net Income to Common Shareholders</v>
      </c>
      <c r="B49" s="217"/>
      <c r="C49" s="1286">
        <f t="shared" si="167" ref="C49:AH49">INDEX(MO_RIS_NI_GAAP_Diluted,0,COLUMN())</f>
        <v>519</v>
      </c>
      <c r="D49" s="1286">
        <f t="shared" si="167"/>
        <v>479</v>
      </c>
      <c r="E49" s="1286">
        <f t="shared" si="167"/>
        <v>342</v>
      </c>
      <c r="F49" s="1286">
        <f t="shared" si="167"/>
        <v>488</v>
      </c>
      <c r="G49" s="1286">
        <f t="shared" si="167"/>
        <v>471</v>
      </c>
      <c r="H49" s="150">
        <f t="shared" si="167"/>
        <v>103</v>
      </c>
      <c r="I49" s="150">
        <f t="shared" si="167"/>
        <v>106</v>
      </c>
      <c r="J49" s="150">
        <f t="shared" si="167"/>
        <v>116</v>
      </c>
      <c r="K49" s="150">
        <f t="shared" si="167"/>
        <v>127</v>
      </c>
      <c r="L49" s="1286">
        <f t="shared" si="167"/>
        <v>452</v>
      </c>
      <c r="M49" s="150">
        <f t="shared" si="167"/>
        <v>19</v>
      </c>
      <c r="N49" s="150">
        <f t="shared" si="167"/>
        <v>141</v>
      </c>
      <c r="O49" s="150">
        <f t="shared" si="167"/>
        <v>63</v>
      </c>
      <c r="P49" s="150">
        <f t="shared" si="167"/>
        <v>129</v>
      </c>
      <c r="Q49" s="1286">
        <f t="shared" si="167"/>
        <v>352</v>
      </c>
      <c r="R49" s="150">
        <f t="shared" si="167"/>
        <v>101</v>
      </c>
      <c r="S49" s="150">
        <f t="shared" si="167"/>
        <v>54</v>
      </c>
      <c r="T49" s="150">
        <f t="shared" si="167"/>
        <v>109</v>
      </c>
      <c r="U49" s="150">
        <f t="shared" si="167"/>
        <v>385</v>
      </c>
      <c r="V49" s="1286">
        <f t="shared" si="167"/>
        <v>649</v>
      </c>
      <c r="W49" s="150">
        <f t="shared" si="167"/>
        <v>153</v>
      </c>
      <c r="X49" s="150">
        <f t="shared" si="167"/>
        <v>145</v>
      </c>
      <c r="Y49" s="150">
        <f t="shared" si="167"/>
        <v>11</v>
      </c>
      <c r="Z49" s="150">
        <f t="shared" si="167"/>
        <v>166</v>
      </c>
      <c r="AA49" s="1286">
        <f t="shared" si="167"/>
        <v>475</v>
      </c>
      <c r="AB49" s="150">
        <f t="shared" si="167"/>
        <v>145</v>
      </c>
      <c r="AC49" s="150">
        <f t="shared" si="167"/>
        <v>210</v>
      </c>
      <c r="AD49" s="150">
        <f t="shared" si="167"/>
        <v>204</v>
      </c>
      <c r="AE49" s="150">
        <f t="shared" si="167"/>
        <v>-29</v>
      </c>
      <c r="AF49" s="1286">
        <f t="shared" si="167"/>
        <v>530</v>
      </c>
      <c r="AG49" s="150">
        <f t="shared" si="167"/>
        <v>329</v>
      </c>
      <c r="AH49" s="150">
        <f t="shared" si="167"/>
        <v>210</v>
      </c>
      <c r="AI49" s="150">
        <f t="shared" si="168" ref="AI49:BE49">INDEX(MO_RIS_NI_GAAP_Diluted,0,COLUMN())</f>
        <v>147</v>
      </c>
      <c r="AJ49" s="150">
        <f t="shared" si="168"/>
        <v>211</v>
      </c>
      <c r="AK49" s="1286">
        <f t="shared" si="168"/>
        <v>897</v>
      </c>
      <c r="AL49" s="150">
        <f t="shared" si="168"/>
        <v>-301</v>
      </c>
      <c r="AM49" s="150">
        <f t="shared" si="168"/>
        <v>177</v>
      </c>
      <c r="AN49" s="150">
        <f t="shared" si="168"/>
        <v>164</v>
      </c>
      <c r="AO49" s="150">
        <f t="shared" si="168"/>
        <v>692</v>
      </c>
      <c r="AP49" s="1286">
        <f t="shared" si="168"/>
        <v>732</v>
      </c>
      <c r="AQ49" s="150">
        <f t="shared" si="168"/>
        <v>419</v>
      </c>
      <c r="AR49" s="150">
        <f t="shared" si="168"/>
        <v>1002</v>
      </c>
      <c r="AS49" s="150">
        <f t="shared" si="168"/>
        <v>219</v>
      </c>
      <c r="AT49" s="150">
        <f t="shared" si="168"/>
        <v>355</v>
      </c>
      <c r="AU49" s="1286">
        <f t="shared" si="168"/>
        <v>1995</v>
      </c>
      <c r="AV49" s="150">
        <f t="shared" si="168"/>
        <v>290</v>
      </c>
      <c r="AW49" s="150">
        <f t="shared" si="168"/>
        <v>167</v>
      </c>
      <c r="AX49" s="150">
        <f t="shared" si="168"/>
        <v>165</v>
      </c>
      <c r="AY49" s="150">
        <f t="shared" si="168"/>
        <v>276</v>
      </c>
      <c r="AZ49" s="1286">
        <f t="shared" si="168"/>
        <v>898</v>
      </c>
      <c r="BA49" s="150">
        <f t="shared" si="168"/>
        <v>212</v>
      </c>
      <c r="BB49" s="150">
        <f t="shared" si="168"/>
        <v>200</v>
      </c>
      <c r="BC49" s="150">
        <f>INDEX(MO_RIS_NI_GAAP_Diluted,0,COLUMN())</f>
        <v>177</v>
      </c>
      <c r="BD49" s="150">
        <f t="shared" si="168"/>
        <v>263</v>
      </c>
      <c r="BE49" s="1286">
        <f t="shared" si="168"/>
        <v>852</v>
      </c>
      <c r="BF49" s="150">
        <f t="shared" si="169" ref="BF49:BJ49">INDEX(MO_RIS_NI_GAAP_Diluted,0,COLUMN())</f>
        <v>242</v>
      </c>
      <c r="BG49" s="150">
        <f t="shared" si="169"/>
        <v>209</v>
      </c>
      <c r="BH49" s="908">
        <f>INDEX(MO_RIS_NI_GAAP_Diluted,0,COLUMN())</f>
        <v>181</v>
      </c>
      <c r="BI49" s="150">
        <f t="shared" si="169"/>
        <v>315.50799804918023</v>
      </c>
      <c r="BJ49" s="1286">
        <f t="shared" si="169"/>
        <v>947.50799804918097</v>
      </c>
      <c r="BK49" s="150">
        <f t="shared" si="170" ref="BK49:BR49">INDEX(MO_RIS_NI_GAAP_Diluted,0,COLUMN())</f>
        <v>293.36198574945206</v>
      </c>
      <c r="BL49" s="150">
        <f t="shared" si="170"/>
        <v>259.77245142082188</v>
      </c>
      <c r="BM49" s="150">
        <f t="shared" si="170"/>
        <v>279.81663242726023</v>
      </c>
      <c r="BN49" s="150">
        <f t="shared" si="170"/>
        <v>337.18148403580813</v>
      </c>
      <c r="BO49" s="1286">
        <f t="shared" si="170"/>
        <v>1170.1325536333416</v>
      </c>
      <c r="BP49" s="1286">
        <f t="shared" si="170"/>
        <v>1262.6980643995962</v>
      </c>
      <c r="BQ49" s="1286">
        <f t="shared" si="170"/>
        <v>1564.2660318054973</v>
      </c>
      <c r="BR49" s="1286">
        <f t="shared" si="170"/>
        <v>1635.7135375929206</v>
      </c>
      <c r="BS49" s="77"/>
    </row>
    <row r="50" spans="1:71" s="710" customFormat="1" ht="15">
      <c r="A50" s="218" t="str">
        <f>INDEX(MO_RIS_EPS_WAD,0,COLUMN())</f>
        <v>Earnings Per Share - WAD</v>
      </c>
      <c r="B50" s="219"/>
      <c r="C50" s="1293">
        <f t="shared" si="171" ref="C50:AH50">INDEX(MO_RIS_EPS_WAD,0,COLUMN())</f>
        <v>4.4434931506849313</v>
      </c>
      <c r="D50" s="1293">
        <f t="shared" si="171"/>
        <v>4.3348416289592757</v>
      </c>
      <c r="E50" s="1293">
        <f t="shared" si="171"/>
        <v>3.323615160349854</v>
      </c>
      <c r="F50" s="1293">
        <f t="shared" si="171"/>
        <v>5.0886339937434828</v>
      </c>
      <c r="G50" s="1293">
        <f t="shared" si="171"/>
        <v>5.1644736842105265</v>
      </c>
      <c r="H50" s="339">
        <f t="shared" si="171"/>
        <v>1.1244541484716157</v>
      </c>
      <c r="I50" s="339">
        <f t="shared" si="171"/>
        <v>1.1572052401746726</v>
      </c>
      <c r="J50" s="339">
        <f t="shared" si="171"/>
        <v>1.276127612761276</v>
      </c>
      <c r="K50" s="339">
        <f t="shared" si="171"/>
        <v>1.4146950051240921</v>
      </c>
      <c r="L50" s="1293">
        <f t="shared" si="171"/>
        <v>4.9670329670329672</v>
      </c>
      <c r="M50" s="339">
        <f t="shared" si="171"/>
        <v>0.21252796420581654</v>
      </c>
      <c r="N50" s="339">
        <f t="shared" si="171"/>
        <v>1.5754189944134078</v>
      </c>
      <c r="O50" s="339">
        <f t="shared" si="171"/>
        <v>0.70548712206047037</v>
      </c>
      <c r="P50" s="339">
        <f t="shared" si="171"/>
        <v>1.4457345227955352</v>
      </c>
      <c r="Q50" s="1293">
        <f t="shared" si="171"/>
        <v>3.9373601789709172</v>
      </c>
      <c r="R50" s="339">
        <f t="shared" si="171"/>
        <v>1.1412429378531073</v>
      </c>
      <c r="S50" s="339">
        <f t="shared" si="171"/>
        <v>0.61085972850678727</v>
      </c>
      <c r="T50" s="339">
        <f t="shared" si="171"/>
        <v>1.231638418079096</v>
      </c>
      <c r="U50" s="339">
        <f t="shared" si="171"/>
        <v>4.3368553855858698</v>
      </c>
      <c r="V50" s="1293">
        <f t="shared" si="171"/>
        <v>7.333333333333333</v>
      </c>
      <c r="W50" s="339">
        <f t="shared" si="171"/>
        <v>1.7133258678611423</v>
      </c>
      <c r="X50" s="339">
        <f t="shared" si="171"/>
        <v>1.6146993318485523</v>
      </c>
      <c r="Y50" s="339">
        <f t="shared" si="171"/>
        <v>0.12222222222222222</v>
      </c>
      <c r="Z50" s="339">
        <f t="shared" si="171"/>
        <v>1.8423973362930079</v>
      </c>
      <c r="AA50" s="1293">
        <f t="shared" si="171"/>
        <v>5.2895322939866372</v>
      </c>
      <c r="AB50" s="339">
        <f t="shared" si="171"/>
        <v>1.6039823008849556</v>
      </c>
      <c r="AC50" s="339">
        <f t="shared" si="171"/>
        <v>2.3153252480705624</v>
      </c>
      <c r="AD50" s="339">
        <f t="shared" si="171"/>
        <v>2.2484046246597087</v>
      </c>
      <c r="AE50" s="339">
        <f t="shared" si="171"/>
        <v>-0.32474804031354987</v>
      </c>
      <c r="AF50" s="1293">
        <f t="shared" si="171"/>
        <v>5.8498896247240619</v>
      </c>
      <c r="AG50" s="339">
        <f t="shared" si="171"/>
        <v>3.6273428886438808</v>
      </c>
      <c r="AH50" s="339">
        <f t="shared" si="171"/>
        <v>2.3076923076923075</v>
      </c>
      <c r="AI50" s="339">
        <f t="shared" si="172" ref="AI50:BE50">INDEX(MO_RIS_EPS_WAD,0,COLUMN())</f>
        <v>1.6136114160263448</v>
      </c>
      <c r="AJ50" s="339">
        <f t="shared" si="172"/>
        <v>2.3110624315443595</v>
      </c>
      <c r="AK50" s="1293">
        <f t="shared" si="172"/>
        <v>9.8571428571428577</v>
      </c>
      <c r="AL50" s="339">
        <f t="shared" si="172"/>
        <v>-3.3333333333333335</v>
      </c>
      <c r="AM50" s="339">
        <f t="shared" si="172"/>
        <v>1.9666666666666666</v>
      </c>
      <c r="AN50" s="339">
        <f t="shared" si="172"/>
        <v>1.8531073446327684</v>
      </c>
      <c r="AO50" s="339">
        <f t="shared" si="172"/>
        <v>7.9357798165137616</v>
      </c>
      <c r="AP50" s="1293">
        <f t="shared" si="172"/>
        <v>8.2062780269058297</v>
      </c>
      <c r="AQ50" s="339">
        <f t="shared" si="172"/>
        <v>4.8383371824480372</v>
      </c>
      <c r="AR50" s="339">
        <f t="shared" si="172"/>
        <v>11.70314653460721</v>
      </c>
      <c r="AS50" s="339">
        <f t="shared" si="172"/>
        <v>2.5704225352112675</v>
      </c>
      <c r="AT50" s="339">
        <f t="shared" si="172"/>
        <v>4.166666666666667</v>
      </c>
      <c r="AU50" s="1293">
        <f t="shared" si="172"/>
        <v>23.306074766355142</v>
      </c>
      <c r="AV50" s="339">
        <f t="shared" si="172"/>
        <v>3.403755868544601</v>
      </c>
      <c r="AW50" s="339">
        <f t="shared" si="172"/>
        <v>1.9577960140679953</v>
      </c>
      <c r="AX50" s="339">
        <f t="shared" si="172"/>
        <v>1.9320843091334894</v>
      </c>
      <c r="AY50" s="339">
        <f t="shared" si="172"/>
        <v>3.2356389214536931</v>
      </c>
      <c r="AZ50" s="1293">
        <f t="shared" si="172"/>
        <v>10.527549824150059</v>
      </c>
      <c r="BA50" s="339">
        <f t="shared" si="172"/>
        <v>2.4830752652908243</v>
      </c>
      <c r="BB50" s="339">
        <f t="shared" si="172"/>
        <v>2.347417840375587</v>
      </c>
      <c r="BC50" s="339">
        <f>INDEX(MO_RIS_EPS_WAD,0,COLUMN())</f>
        <v>2.0897284533648168</v>
      </c>
      <c r="BD50" s="339">
        <f t="shared" si="172"/>
        <v>3.1384248210023866</v>
      </c>
      <c r="BE50" s="1293">
        <f t="shared" si="172"/>
        <v>10.047169811320755</v>
      </c>
      <c r="BF50" s="339">
        <f t="shared" si="173" ref="BF50:BJ50">INDEX(MO_RIS_EPS_WAD,0,COLUMN())</f>
        <v>2.8878281622911697</v>
      </c>
      <c r="BG50" s="339">
        <f t="shared" si="173"/>
        <v>2.4910607866507744</v>
      </c>
      <c r="BH50" s="913">
        <f>INDEX(MO_RIS_EPS_WAD,0,COLUMN())</f>
        <v>2.1573301549463646</v>
      </c>
      <c r="BI50" s="84">
        <f t="shared" ca="1" si="173"/>
        <v>3.7575950216312179</v>
      </c>
      <c r="BJ50" s="1294">
        <f t="shared" ca="1" si="173"/>
        <v>11.294958803767262</v>
      </c>
      <c r="BK50" s="84">
        <f ca="1" t="shared" si="174" ref="BK50:BR50">INDEX(MO_RIS_EPS_WAD,0,COLUMN())</f>
        <v>3.4920982252399346</v>
      </c>
      <c r="BL50" s="84">
        <f t="shared" ca="1" si="174"/>
        <v>3.0922578951576845</v>
      </c>
      <c r="BM50" s="84">
        <f t="shared" ca="1" si="174"/>
        <v>3.3308581648557229</v>
      </c>
      <c r="BN50" s="84">
        <f t="shared" ca="1" si="174"/>
        <v>4.0137131570647346</v>
      </c>
      <c r="BO50" s="1294">
        <f t="shared" ca="1" si="174"/>
        <v>13.928927442318068</v>
      </c>
      <c r="BP50" s="1293">
        <f t="shared" ca="1" si="174"/>
        <v>15.030801139550736</v>
      </c>
      <c r="BQ50" s="1293">
        <f t="shared" ca="1" si="174"/>
        <v>18.620581052844525</v>
      </c>
      <c r="BR50" s="1294">
        <f t="shared" ca="1" si="174"/>
        <v>19.47107198308785</v>
      </c>
      <c r="BS50" s="84"/>
    </row>
    <row r="51" spans="1:71" s="704" customFormat="1" ht="15">
      <c r="A51" s="800" t="str">
        <f>INDEX(MO_RIS_ShareCount_WAD_Adj,0,COLUMN())</f>
        <v>Adjusted Shares Outstanding - WAD</v>
      </c>
      <c r="B51" s="801"/>
      <c r="C51" s="1295">
        <f t="shared" si="175" ref="C51:AH51">INDEX(MO_RIS_ShareCount_WAD_Adj,0,COLUMN())</f>
        <v>116.80</v>
      </c>
      <c r="D51" s="1295">
        <f t="shared" si="175"/>
        <v>110.50</v>
      </c>
      <c r="E51" s="1295">
        <f t="shared" si="175"/>
        <v>102.90000000000001</v>
      </c>
      <c r="F51" s="1295">
        <f t="shared" si="175"/>
        <v>95.90</v>
      </c>
      <c r="G51" s="1295">
        <f t="shared" si="175"/>
        <v>91.20</v>
      </c>
      <c r="H51" s="1016">
        <f t="shared" si="175"/>
        <v>91.60</v>
      </c>
      <c r="I51" s="1016">
        <f t="shared" si="175"/>
        <v>91.60</v>
      </c>
      <c r="J51" s="1016">
        <f t="shared" si="175"/>
        <v>90.90</v>
      </c>
      <c r="K51" s="1016">
        <f t="shared" si="175"/>
        <v>89.772000000000006</v>
      </c>
      <c r="L51" s="1295">
        <f t="shared" si="175"/>
        <v>91</v>
      </c>
      <c r="M51" s="1016">
        <f t="shared" si="175"/>
        <v>89.40</v>
      </c>
      <c r="N51" s="1016">
        <f t="shared" si="175"/>
        <v>89.50</v>
      </c>
      <c r="O51" s="1016">
        <f t="shared" si="175"/>
        <v>89.30</v>
      </c>
      <c r="P51" s="1016">
        <f t="shared" si="175"/>
        <v>89.227999999999994</v>
      </c>
      <c r="Q51" s="1295">
        <f t="shared" si="175"/>
        <v>89.40</v>
      </c>
      <c r="R51" s="1016">
        <f t="shared" si="175"/>
        <v>88.50</v>
      </c>
      <c r="S51" s="1016">
        <f t="shared" si="175"/>
        <v>88.40</v>
      </c>
      <c r="T51" s="1016">
        <f t="shared" si="175"/>
        <v>88.50</v>
      </c>
      <c r="U51" s="1016">
        <f t="shared" si="175"/>
        <v>88.774000000000001</v>
      </c>
      <c r="V51" s="1295">
        <f t="shared" si="175"/>
        <v>88.50</v>
      </c>
      <c r="W51" s="1016">
        <f t="shared" si="175"/>
        <v>89.30</v>
      </c>
      <c r="X51" s="1016">
        <f t="shared" si="175"/>
        <v>89.80</v>
      </c>
      <c r="Y51" s="1016">
        <f t="shared" si="175"/>
        <v>90</v>
      </c>
      <c r="Z51" s="1016">
        <f t="shared" si="175"/>
        <v>90.10</v>
      </c>
      <c r="AA51" s="1295">
        <f t="shared" si="175"/>
        <v>89.80</v>
      </c>
      <c r="AB51" s="1016">
        <f t="shared" si="175"/>
        <v>90.40</v>
      </c>
      <c r="AC51" s="1016">
        <f t="shared" si="175"/>
        <v>90.70</v>
      </c>
      <c r="AD51" s="1016">
        <f t="shared" si="175"/>
        <v>90.730999999999995</v>
      </c>
      <c r="AE51" s="1016">
        <f t="shared" si="175"/>
        <v>89.30</v>
      </c>
      <c r="AF51" s="1295">
        <f t="shared" si="175"/>
        <v>90.60</v>
      </c>
      <c r="AG51" s="1016">
        <f t="shared" si="175"/>
        <v>90.70</v>
      </c>
      <c r="AH51" s="1016">
        <f t="shared" si="175"/>
        <v>91</v>
      </c>
      <c r="AI51" s="1016">
        <f t="shared" si="176" ref="AI51:BJ51">INDEX(MO_RIS_ShareCount_WAD_Adj,0,COLUMN())</f>
        <v>91.10</v>
      </c>
      <c r="AJ51" s="1016">
        <f t="shared" si="176"/>
        <v>91.30</v>
      </c>
      <c r="AK51" s="1295">
        <f t="shared" si="176"/>
        <v>91</v>
      </c>
      <c r="AL51" s="1016">
        <f t="shared" si="176"/>
        <v>90.30</v>
      </c>
      <c r="AM51" s="1016">
        <f t="shared" si="176"/>
        <v>90</v>
      </c>
      <c r="AN51" s="1016">
        <f t="shared" si="176"/>
        <v>88.50</v>
      </c>
      <c r="AO51" s="1016">
        <f t="shared" si="176"/>
        <v>87.20</v>
      </c>
      <c r="AP51" s="1295">
        <f t="shared" si="176"/>
        <v>89.20</v>
      </c>
      <c r="AQ51" s="1016">
        <f t="shared" si="176"/>
        <v>86.60</v>
      </c>
      <c r="AR51" s="1016">
        <f t="shared" si="176"/>
        <v>85.617999999999995</v>
      </c>
      <c r="AS51" s="1016">
        <f t="shared" si="176"/>
        <v>85.20</v>
      </c>
      <c r="AT51" s="1016">
        <f t="shared" si="176"/>
        <v>85.20</v>
      </c>
      <c r="AU51" s="1295">
        <f t="shared" si="176"/>
        <v>85.60</v>
      </c>
      <c r="AV51" s="1016">
        <f t="shared" si="176"/>
        <v>85.20</v>
      </c>
      <c r="AW51" s="1016">
        <f t="shared" si="176"/>
        <v>85.30</v>
      </c>
      <c r="AX51" s="1016">
        <f t="shared" si="176"/>
        <v>85.40</v>
      </c>
      <c r="AY51" s="1016">
        <f t="shared" si="176"/>
        <v>85.30</v>
      </c>
      <c r="AZ51" s="1295">
        <f t="shared" si="176"/>
        <v>85.30</v>
      </c>
      <c r="BA51" s="1016">
        <f t="shared" si="176"/>
        <v>85.378</v>
      </c>
      <c r="BB51" s="1016">
        <f t="shared" si="176"/>
        <v>85.20</v>
      </c>
      <c r="BC51" s="1016">
        <f>INDEX(MO_RIS_ShareCount_WAD_Adj,0,COLUMN())</f>
        <v>84.70</v>
      </c>
      <c r="BD51" s="1016">
        <f t="shared" si="176"/>
        <v>83.80</v>
      </c>
      <c r="BE51" s="1295">
        <f t="shared" si="176"/>
        <v>84.80</v>
      </c>
      <c r="BF51" s="1016">
        <f t="shared" si="176"/>
        <v>83.80</v>
      </c>
      <c r="BG51" s="1016">
        <f t="shared" si="176"/>
        <v>83.90</v>
      </c>
      <c r="BH51" s="1017">
        <f>INDEX(MO_RIS_ShareCount_WAD_Adj,0,COLUMN())</f>
        <v>83.90</v>
      </c>
      <c r="BI51" s="1016">
        <f t="shared" ca="1" si="176"/>
        <v>83.965407722999998</v>
      </c>
      <c r="BJ51" s="1295">
        <f t="shared" ca="1" si="176"/>
        <v>83.887689588841539</v>
      </c>
      <c r="BK51" s="1016">
        <f ca="1" t="shared" si="177" ref="BK51:BR51">INDEX(MO_RIS_ShareCount_WAD_Adj,0,COLUMN())</f>
        <v>84.007369445999984</v>
      </c>
      <c r="BL51" s="1016">
        <f t="shared" ca="1" si="177"/>
        <v>84.007369445999984</v>
      </c>
      <c r="BM51" s="1016">
        <f t="shared" ca="1" si="177"/>
        <v>84.007369445999984</v>
      </c>
      <c r="BN51" s="1016">
        <f t="shared" ca="1" si="177"/>
        <v>84.007369445999984</v>
      </c>
      <c r="BO51" s="1295">
        <f t="shared" ca="1" si="177"/>
        <v>84.007369445999984</v>
      </c>
      <c r="BP51" s="1295">
        <f t="shared" ca="1" si="177"/>
        <v>84.007369445999984</v>
      </c>
      <c r="BQ51" s="1295">
        <f t="shared" ca="1" si="177"/>
        <v>84.007369445999984</v>
      </c>
      <c r="BR51" s="1295">
        <f t="shared" ca="1" si="177"/>
        <v>84.007369445999984</v>
      </c>
      <c r="BS51" s="959"/>
    </row>
    <row r="52" spans="1:71" s="704" customFormat="1" ht="15">
      <c r="A52" s="199"/>
      <c r="B52" s="200"/>
      <c r="C52" s="1295"/>
      <c r="D52" s="1295"/>
      <c r="E52" s="1295"/>
      <c r="F52" s="1295"/>
      <c r="G52" s="1295"/>
      <c r="H52" s="1016"/>
      <c r="I52" s="1016"/>
      <c r="J52" s="1016"/>
      <c r="K52" s="1016"/>
      <c r="L52" s="1295"/>
      <c r="M52" s="1016"/>
      <c r="N52" s="1016"/>
      <c r="O52" s="1016"/>
      <c r="P52" s="1016"/>
      <c r="Q52" s="1295"/>
      <c r="R52" s="1016"/>
      <c r="S52" s="1016"/>
      <c r="T52" s="1016"/>
      <c r="U52" s="1016"/>
      <c r="V52" s="1295"/>
      <c r="W52" s="1016"/>
      <c r="X52" s="1016"/>
      <c r="Y52" s="1016"/>
      <c r="Z52" s="1016"/>
      <c r="AA52" s="1295"/>
      <c r="AB52" s="1016"/>
      <c r="AC52" s="1016"/>
      <c r="AD52" s="1016"/>
      <c r="AE52" s="1016"/>
      <c r="AF52" s="1295"/>
      <c r="AG52" s="1016"/>
      <c r="AH52" s="1016"/>
      <c r="AI52" s="1016"/>
      <c r="AJ52" s="1016"/>
      <c r="AK52" s="1295"/>
      <c r="AL52" s="1016"/>
      <c r="AM52" s="1016"/>
      <c r="AN52" s="1016"/>
      <c r="AO52" s="1016"/>
      <c r="AP52" s="1295"/>
      <c r="AQ52" s="1016"/>
      <c r="AR52" s="1016"/>
      <c r="AS52" s="1016"/>
      <c r="AT52" s="1016"/>
      <c r="AU52" s="1295"/>
      <c r="AV52" s="1016"/>
      <c r="AW52" s="1016"/>
      <c r="AX52" s="1016"/>
      <c r="AY52" s="1016"/>
      <c r="AZ52" s="1295"/>
      <c r="BA52" s="1016"/>
      <c r="BB52" s="1016"/>
      <c r="BC52" s="1016"/>
      <c r="BD52" s="1016"/>
      <c r="BE52" s="1295"/>
      <c r="BF52" s="1016"/>
      <c r="BG52" s="1016"/>
      <c r="BH52" s="1017"/>
      <c r="BI52" s="1018"/>
      <c r="BJ52" s="1296"/>
      <c r="BK52" s="1018"/>
      <c r="BL52" s="1018"/>
      <c r="BM52" s="1018"/>
      <c r="BN52" s="1018"/>
      <c r="BO52" s="1296"/>
      <c r="BP52" s="1295"/>
      <c r="BQ52" s="1295"/>
      <c r="BR52" s="1296"/>
      <c r="BS52" s="959"/>
    </row>
    <row r="53" spans="1:71" ht="15">
      <c r="A53" s="71" t="s">
        <v>438</v>
      </c>
      <c r="B53" s="72"/>
      <c r="C53" s="299"/>
      <c r="D53" s="299"/>
      <c r="E53" s="299"/>
      <c r="F53" s="299"/>
      <c r="G53" s="299"/>
      <c r="H53" s="299"/>
      <c r="I53" s="299"/>
      <c r="J53" s="299"/>
      <c r="K53" s="299"/>
      <c r="L53" s="299"/>
      <c r="M53" s="299"/>
      <c r="N53" s="299"/>
      <c r="O53" s="299"/>
      <c r="P53" s="299"/>
      <c r="Q53" s="299"/>
      <c r="R53" s="299"/>
      <c r="S53" s="299"/>
      <c r="T53" s="299"/>
      <c r="U53" s="299"/>
      <c r="V53" s="299"/>
      <c r="W53" s="299"/>
      <c r="X53" s="299"/>
      <c r="Y53" s="299"/>
      <c r="Z53" s="299"/>
      <c r="AA53" s="299"/>
      <c r="AB53" s="299"/>
      <c r="AC53" s="299"/>
      <c r="AD53" s="299"/>
      <c r="AE53" s="299"/>
      <c r="AF53" s="299"/>
      <c r="AG53" s="299"/>
      <c r="AH53" s="299"/>
      <c r="AI53" s="299"/>
      <c r="AJ53" s="299"/>
      <c r="AK53" s="299"/>
      <c r="AL53" s="299"/>
      <c r="AM53" s="299"/>
      <c r="AN53" s="299"/>
      <c r="AO53" s="299"/>
      <c r="AP53" s="299"/>
      <c r="AQ53" s="299"/>
      <c r="AR53" s="299"/>
      <c r="AS53" s="299"/>
      <c r="AT53" s="299"/>
      <c r="AU53" s="299"/>
      <c r="AV53" s="299"/>
      <c r="AW53" s="299"/>
      <c r="AX53" s="299"/>
      <c r="AY53" s="299"/>
      <c r="AZ53" s="299"/>
      <c r="BA53" s="299"/>
      <c r="BB53" s="299"/>
      <c r="BC53" s="299"/>
      <c r="BD53" s="299"/>
      <c r="BE53" s="299"/>
      <c r="BF53" s="299"/>
      <c r="BG53" s="299"/>
      <c r="BH53" s="403"/>
      <c r="BI53" s="72"/>
      <c r="BJ53" s="72"/>
      <c r="BK53" s="72"/>
      <c r="BL53" s="72"/>
      <c r="BM53" s="72"/>
      <c r="BN53" s="72"/>
      <c r="BO53" s="72"/>
      <c r="BP53" s="299"/>
      <c r="BQ53" s="299"/>
      <c r="BR53" s="72"/>
      <c r="BS53" s="79"/>
    </row>
    <row r="54" spans="1:71" s="707" customFormat="1" ht="15">
      <c r="A54" s="203" t="str">
        <f>INDEX(MO_RIS_NI_NONGAAP_Diluted,0,COLUMN())</f>
        <v>Core Net Operating Earnings</v>
      </c>
      <c r="B54" s="204"/>
      <c r="C54" s="1281">
        <f t="shared" si="178" ref="C54:AU54">INDEX(MO_RIS_NI_NONGAAP_Diluted,0,COLUMN())</f>
        <v>519</v>
      </c>
      <c r="D54" s="1281">
        <f t="shared" si="178"/>
        <v>479</v>
      </c>
      <c r="E54" s="1281">
        <f t="shared" si="178"/>
        <v>342</v>
      </c>
      <c r="F54" s="1281">
        <f t="shared" si="178"/>
        <v>488</v>
      </c>
      <c r="G54" s="1281">
        <f t="shared" si="178"/>
        <v>471</v>
      </c>
      <c r="H54" s="335">
        <f t="shared" si="178"/>
        <v>103</v>
      </c>
      <c r="I54" s="335">
        <f t="shared" si="178"/>
        <v>106</v>
      </c>
      <c r="J54" s="335">
        <f t="shared" si="178"/>
        <v>116</v>
      </c>
      <c r="K54" s="335">
        <f t="shared" si="178"/>
        <v>127</v>
      </c>
      <c r="L54" s="1281">
        <f t="shared" si="178"/>
        <v>452</v>
      </c>
      <c r="M54" s="335">
        <f t="shared" si="178"/>
        <v>112</v>
      </c>
      <c r="N54" s="335">
        <f t="shared" si="178"/>
        <v>115</v>
      </c>
      <c r="O54" s="335">
        <f t="shared" si="178"/>
        <v>123</v>
      </c>
      <c r="P54" s="335">
        <f t="shared" si="178"/>
        <v>136</v>
      </c>
      <c r="Q54" s="1281">
        <f t="shared" si="178"/>
        <v>486</v>
      </c>
      <c r="R54" s="335">
        <f t="shared" si="178"/>
        <v>111</v>
      </c>
      <c r="S54" s="335">
        <f t="shared" si="178"/>
        <v>113</v>
      </c>
      <c r="T54" s="335">
        <f t="shared" si="178"/>
        <v>134</v>
      </c>
      <c r="U54" s="335">
        <f t="shared" si="178"/>
        <v>176</v>
      </c>
      <c r="V54" s="1281">
        <f t="shared" si="178"/>
        <v>534</v>
      </c>
      <c r="W54" s="335">
        <f t="shared" si="178"/>
        <v>151</v>
      </c>
      <c r="X54" s="335">
        <f t="shared" si="178"/>
        <v>145</v>
      </c>
      <c r="Y54" s="335">
        <f t="shared" si="178"/>
        <v>95</v>
      </c>
      <c r="Z54" s="335">
        <f t="shared" si="178"/>
        <v>197</v>
      </c>
      <c r="AA54" s="1281">
        <f t="shared" si="178"/>
        <v>588</v>
      </c>
      <c r="AB54" s="335">
        <f t="shared" si="178"/>
        <v>219</v>
      </c>
      <c r="AC54" s="335">
        <f t="shared" si="178"/>
        <v>185</v>
      </c>
      <c r="AD54" s="335">
        <f t="shared" si="178"/>
        <v>198</v>
      </c>
      <c r="AE54" s="335">
        <f t="shared" si="178"/>
        <v>159</v>
      </c>
      <c r="AF54" s="1281">
        <f t="shared" si="178"/>
        <v>761</v>
      </c>
      <c r="AG54" s="335">
        <f t="shared" si="178"/>
        <v>184</v>
      </c>
      <c r="AH54" s="335">
        <f t="shared" si="178"/>
        <v>192</v>
      </c>
      <c r="AI54" s="335">
        <f t="shared" si="178"/>
        <v>205</v>
      </c>
      <c r="AJ54" s="335">
        <f t="shared" si="178"/>
        <v>203</v>
      </c>
      <c r="AK54" s="1281">
        <f t="shared" si="178"/>
        <v>784</v>
      </c>
      <c r="AL54" s="335">
        <f t="shared" si="179" ref="AL54:AQ54">INDEX(MO_RIS_NI_NONGAAP_Diluted,0,COLUMN())</f>
        <v>125</v>
      </c>
      <c r="AM54" s="335">
        <f t="shared" si="179"/>
        <v>60</v>
      </c>
      <c r="AN54" s="335">
        <f t="shared" si="179"/>
        <v>121</v>
      </c>
      <c r="AO54" s="335">
        <f t="shared" si="179"/>
        <v>175</v>
      </c>
      <c r="AP54" s="1281">
        <f t="shared" si="179"/>
        <v>481</v>
      </c>
      <c r="AQ54" s="335">
        <f t="shared" si="179"/>
        <v>206</v>
      </c>
      <c r="AR54" s="335">
        <f t="shared" si="178"/>
        <v>205</v>
      </c>
      <c r="AS54" s="335">
        <f t="shared" si="178"/>
        <v>231</v>
      </c>
      <c r="AT54" s="335">
        <f t="shared" si="178"/>
        <v>351</v>
      </c>
      <c r="AU54" s="1281">
        <f t="shared" si="178"/>
        <v>993</v>
      </c>
      <c r="AV54" s="335">
        <f t="shared" si="180" ref="AV54:BE54">INDEX(MO_RIS_NI_NONGAAP_Diluted,0,COLUMN())</f>
        <v>303</v>
      </c>
      <c r="AW54" s="335">
        <f t="shared" si="180"/>
        <v>243</v>
      </c>
      <c r="AX54" s="335">
        <f t="shared" si="180"/>
        <v>192</v>
      </c>
      <c r="AY54" s="335">
        <f t="shared" si="180"/>
        <v>255</v>
      </c>
      <c r="AZ54" s="1281">
        <f t="shared" si="180"/>
        <v>993</v>
      </c>
      <c r="BA54" s="335">
        <f t="shared" si="180"/>
        <v>247</v>
      </c>
      <c r="BB54" s="335">
        <f t="shared" si="180"/>
        <v>202</v>
      </c>
      <c r="BC54" s="335">
        <f>INDEX(MO_RIS_NI_NONGAAP_Diluted,0,COLUMN())</f>
        <v>208</v>
      </c>
      <c r="BD54" s="335">
        <f t="shared" si="180"/>
        <v>238</v>
      </c>
      <c r="BE54" s="1281">
        <f t="shared" si="180"/>
        <v>895</v>
      </c>
      <c r="BF54" s="335">
        <f t="shared" si="181" ref="BF54:BJ54">INDEX(MO_RIS_NI_NONGAAP_Diluted,0,COLUMN())</f>
        <v>231</v>
      </c>
      <c r="BG54" s="335">
        <f t="shared" si="181"/>
        <v>215</v>
      </c>
      <c r="BH54" s="905">
        <f>INDEX(MO_RIS_NI_NONGAAP_Diluted,0,COLUMN())</f>
        <v>194</v>
      </c>
      <c r="BI54" s="77">
        <f t="shared" si="181"/>
        <v>278.00799804918023</v>
      </c>
      <c r="BJ54" s="1282">
        <f t="shared" si="181"/>
        <v>918.00799804918097</v>
      </c>
      <c r="BK54" s="77">
        <f t="shared" si="182" ref="BK54:BR54">INDEX(MO_RIS_NI_NONGAAP_Diluted,0,COLUMN())</f>
        <v>272.36198574945206</v>
      </c>
      <c r="BL54" s="77">
        <f t="shared" si="182"/>
        <v>238.77245142082188</v>
      </c>
      <c r="BM54" s="77">
        <f t="shared" si="182"/>
        <v>255.31663242726023</v>
      </c>
      <c r="BN54" s="77">
        <f t="shared" si="182"/>
        <v>306.18148403580813</v>
      </c>
      <c r="BO54" s="1282">
        <f t="shared" si="182"/>
        <v>1072.6325536333416</v>
      </c>
      <c r="BP54" s="1281">
        <f t="shared" si="182"/>
        <v>1157.6980643995962</v>
      </c>
      <c r="BQ54" s="1281">
        <f t="shared" si="182"/>
        <v>1454.3660318054972</v>
      </c>
      <c r="BR54" s="1282">
        <f t="shared" si="182"/>
        <v>1525.8135375929205</v>
      </c>
      <c r="BS54" s="77"/>
    </row>
    <row r="55" spans="1:71" s="710" customFormat="1" ht="15">
      <c r="A55" s="218" t="str">
        <f>INDEX(MO_RIS_EPS_WAD_Adj,0,COLUMN())</f>
        <v>Core Net Operating Earnings Per Share - WAD</v>
      </c>
      <c r="B55" s="219"/>
      <c r="C55" s="1293">
        <f t="shared" si="183" ref="C55:AU55">INDEX(MO_RIS_EPS_WAD_Adj,0,COLUMN())</f>
        <v>4.4434931506849313</v>
      </c>
      <c r="D55" s="1293">
        <f t="shared" si="183"/>
        <v>4.3348416289592757</v>
      </c>
      <c r="E55" s="1293">
        <f t="shared" si="183"/>
        <v>3.323615160349854</v>
      </c>
      <c r="F55" s="1293">
        <f t="shared" si="183"/>
        <v>5.0886339937434828</v>
      </c>
      <c r="G55" s="1293">
        <f t="shared" si="183"/>
        <v>5.1644736842105265</v>
      </c>
      <c r="H55" s="339">
        <f t="shared" si="183"/>
        <v>1.1244541484716157</v>
      </c>
      <c r="I55" s="339">
        <f t="shared" si="183"/>
        <v>1.1572052401746726</v>
      </c>
      <c r="J55" s="339">
        <f t="shared" si="183"/>
        <v>1.276127612761276</v>
      </c>
      <c r="K55" s="339">
        <f t="shared" si="183"/>
        <v>1.4146950051240921</v>
      </c>
      <c r="L55" s="1293">
        <f t="shared" si="183"/>
        <v>4.9670329670329672</v>
      </c>
      <c r="M55" s="339">
        <f t="shared" si="183"/>
        <v>1.2527964205816553</v>
      </c>
      <c r="N55" s="339">
        <f t="shared" si="183"/>
        <v>1.2849162011173185</v>
      </c>
      <c r="O55" s="339">
        <f t="shared" si="183"/>
        <v>1.3773796192609182</v>
      </c>
      <c r="P55" s="339">
        <f t="shared" si="183"/>
        <v>1.5241852333348278</v>
      </c>
      <c r="Q55" s="1293">
        <f t="shared" si="183"/>
        <v>5.4362416107382545</v>
      </c>
      <c r="R55" s="339">
        <f t="shared" si="183"/>
        <v>1.2542372881355932</v>
      </c>
      <c r="S55" s="339">
        <f t="shared" si="183"/>
        <v>1.2782805429864252</v>
      </c>
      <c r="T55" s="339">
        <f t="shared" si="183"/>
        <v>1.5141242937853108</v>
      </c>
      <c r="U55" s="339">
        <f t="shared" si="183"/>
        <v>1.9825624619821118</v>
      </c>
      <c r="V55" s="1293">
        <f t="shared" si="183"/>
        <v>6.0338983050847457</v>
      </c>
      <c r="W55" s="339">
        <f t="shared" si="183"/>
        <v>1.6909294512877939</v>
      </c>
      <c r="X55" s="339">
        <f t="shared" si="183"/>
        <v>1.6146993318485523</v>
      </c>
      <c r="Y55" s="339">
        <f t="shared" si="183"/>
        <v>1.0555555555555556</v>
      </c>
      <c r="Z55" s="339">
        <f t="shared" si="183"/>
        <v>2.1864594894561598</v>
      </c>
      <c r="AA55" s="1293">
        <f t="shared" si="183"/>
        <v>6.5478841870824054</v>
      </c>
      <c r="AB55" s="339">
        <f t="shared" si="183"/>
        <v>2.4225663716814156</v>
      </c>
      <c r="AC55" s="339">
        <f t="shared" si="183"/>
        <v>2.0396912899669237</v>
      </c>
      <c r="AD55" s="339">
        <f t="shared" si="183"/>
        <v>2.1822750768755994</v>
      </c>
      <c r="AE55" s="339">
        <f t="shared" si="183"/>
        <v>1.7805151175811871</v>
      </c>
      <c r="AF55" s="1293">
        <f t="shared" si="183"/>
        <v>8.3995584988962477</v>
      </c>
      <c r="AG55" s="339">
        <f t="shared" si="183"/>
        <v>2.0286659316427782</v>
      </c>
      <c r="AH55" s="339">
        <f t="shared" si="183"/>
        <v>2.1098901098901099</v>
      </c>
      <c r="AI55" s="339">
        <f t="shared" si="183"/>
        <v>2.2502744237102088</v>
      </c>
      <c r="AJ55" s="339">
        <f t="shared" si="183"/>
        <v>2.2234392113910189</v>
      </c>
      <c r="AK55" s="1293">
        <f t="shared" si="183"/>
        <v>8.615384615384615</v>
      </c>
      <c r="AL55" s="339">
        <f t="shared" si="184" ref="AL55:AQ55">INDEX(MO_RIS_EPS_WAD_Adj,0,COLUMN())</f>
        <v>1.3842746400885937</v>
      </c>
      <c r="AM55" s="339">
        <f t="shared" si="184"/>
        <v>0.66666666666666663</v>
      </c>
      <c r="AN55" s="339">
        <f t="shared" si="184"/>
        <v>1.3672316384180792</v>
      </c>
      <c r="AO55" s="339">
        <f t="shared" si="184"/>
        <v>2.0068807339449539</v>
      </c>
      <c r="AP55" s="1293">
        <f t="shared" si="184"/>
        <v>5.3923766816143495</v>
      </c>
      <c r="AQ55" s="339">
        <f t="shared" si="184"/>
        <v>2.3787528868360277</v>
      </c>
      <c r="AR55" s="339">
        <f t="shared" si="183"/>
        <v>2.3943563269405965</v>
      </c>
      <c r="AS55" s="339">
        <f t="shared" si="183"/>
        <v>2.7112676056338025</v>
      </c>
      <c r="AT55" s="339">
        <f t="shared" si="183"/>
        <v>4.119718309859155</v>
      </c>
      <c r="AU55" s="1293">
        <f t="shared" si="183"/>
        <v>11.600467289719626</v>
      </c>
      <c r="AV55" s="339">
        <f t="shared" si="185" ref="AV55:BE55">INDEX(MO_RIS_EPS_WAD_Adj,0,COLUMN())</f>
        <v>3.556338028169014</v>
      </c>
      <c r="AW55" s="339">
        <f t="shared" si="185"/>
        <v>2.8487690504103167</v>
      </c>
      <c r="AX55" s="339">
        <f t="shared" si="185"/>
        <v>2.2482435597189694</v>
      </c>
      <c r="AY55" s="339">
        <f t="shared" si="185"/>
        <v>2.9894490035169987</v>
      </c>
      <c r="AZ55" s="1293">
        <f t="shared" si="185"/>
        <v>11.64126611957796</v>
      </c>
      <c r="BA55" s="339">
        <f t="shared" si="185"/>
        <v>2.8930169364473284</v>
      </c>
      <c r="BB55" s="339">
        <f t="shared" si="185"/>
        <v>2.3708920187793425</v>
      </c>
      <c r="BC55" s="339">
        <f>INDEX(MO_RIS_EPS_WAD_Adj,0,COLUMN())</f>
        <v>2.4557260920897286</v>
      </c>
      <c r="BD55" s="339">
        <f t="shared" si="185"/>
        <v>2.8400954653937949</v>
      </c>
      <c r="BE55" s="1293">
        <f t="shared" si="185"/>
        <v>10.554245283018869</v>
      </c>
      <c r="BF55" s="339">
        <f t="shared" si="186" ref="BF55:BJ55">INDEX(MO_RIS_EPS_WAD_Adj,0,COLUMN())</f>
        <v>2.7565632458233891</v>
      </c>
      <c r="BG55" s="339">
        <f t="shared" si="186"/>
        <v>2.5625744934445769</v>
      </c>
      <c r="BH55" s="913">
        <f>INDEX(MO_RIS_EPS_WAD_Adj,0,COLUMN())</f>
        <v>2.3122765196662693</v>
      </c>
      <c r="BI55" s="84">
        <f t="shared" ca="1" si="186"/>
        <v>3.3109825294521573</v>
      </c>
      <c r="BJ55" s="1294">
        <f t="shared" ca="1" si="186"/>
        <v>10.943298147184773</v>
      </c>
      <c r="BK55" s="84">
        <f ca="1" t="shared" si="187" ref="BK55:BR55">INDEX(MO_RIS_EPS_WAD_Adj,0,COLUMN())</f>
        <v>3.2421201561908992</v>
      </c>
      <c r="BL55" s="84">
        <f t="shared" ca="1" si="187"/>
        <v>2.842279826108649</v>
      </c>
      <c r="BM55" s="84">
        <f t="shared" ca="1" si="187"/>
        <v>3.0392170842985151</v>
      </c>
      <c r="BN55" s="84">
        <f t="shared" ca="1" si="187"/>
        <v>3.6446979122780636</v>
      </c>
      <c r="BO55" s="1294">
        <f t="shared" ca="1" si="187"/>
        <v>12.768314978876118</v>
      </c>
      <c r="BP55" s="1293">
        <f t="shared" ca="1" si="187"/>
        <v>13.780910794305559</v>
      </c>
      <c r="BQ55" s="1293">
        <f t="shared" ca="1" si="187"/>
        <v>17.312362491487907</v>
      </c>
      <c r="BR55" s="1294">
        <f t="shared" ca="1" si="187"/>
        <v>18.162853421731231</v>
      </c>
      <c r="BS55" s="84"/>
    </row>
    <row r="56" spans="1:71" ht="15">
      <c r="A56" s="79"/>
      <c r="B56" s="220"/>
      <c r="C56" s="1297"/>
      <c r="D56" s="1297"/>
      <c r="E56" s="1297"/>
      <c r="F56" s="1297"/>
      <c r="G56" s="1297"/>
      <c r="H56" s="340"/>
      <c r="I56" s="340"/>
      <c r="J56" s="340"/>
      <c r="K56" s="340"/>
      <c r="L56" s="1297"/>
      <c r="M56" s="340"/>
      <c r="N56" s="340"/>
      <c r="O56" s="340"/>
      <c r="P56" s="340"/>
      <c r="Q56" s="1297"/>
      <c r="R56" s="340"/>
      <c r="S56" s="340"/>
      <c r="T56" s="340"/>
      <c r="U56" s="340"/>
      <c r="V56" s="1297"/>
      <c r="W56" s="340"/>
      <c r="X56" s="340"/>
      <c r="Y56" s="340"/>
      <c r="Z56" s="340"/>
      <c r="AA56" s="1297"/>
      <c r="AB56" s="340"/>
      <c r="AC56" s="340"/>
      <c r="AD56" s="340"/>
      <c r="AE56" s="340"/>
      <c r="AF56" s="1297"/>
      <c r="AG56" s="340"/>
      <c r="AH56" s="340"/>
      <c r="AI56" s="340"/>
      <c r="AJ56" s="340"/>
      <c r="AK56" s="1297"/>
      <c r="AL56" s="340"/>
      <c r="AM56" s="340"/>
      <c r="AN56" s="340"/>
      <c r="AO56" s="340"/>
      <c r="AP56" s="1297"/>
      <c r="AQ56" s="340"/>
      <c r="AR56" s="340"/>
      <c r="AS56" s="340"/>
      <c r="AT56" s="341"/>
      <c r="AU56" s="1287"/>
      <c r="AV56" s="340"/>
      <c r="AW56" s="340"/>
      <c r="AX56" s="340"/>
      <c r="AY56" s="341"/>
      <c r="AZ56" s="1287"/>
      <c r="BA56" s="340"/>
      <c r="BB56" s="340"/>
      <c r="BC56" s="340"/>
      <c r="BD56" s="341"/>
      <c r="BE56" s="1287"/>
      <c r="BF56" s="340"/>
      <c r="BG56" s="340"/>
      <c r="BH56" s="914"/>
      <c r="BI56" s="86"/>
      <c r="BJ56" s="1288"/>
      <c r="BK56" s="85"/>
      <c r="BL56" s="85"/>
      <c r="BM56" s="85"/>
      <c r="BN56" s="86"/>
      <c r="BO56" s="1288"/>
      <c r="BP56" s="1287"/>
      <c r="BQ56" s="1287"/>
      <c r="BR56" s="1288"/>
      <c r="BS56" s="79"/>
    </row>
    <row r="57" spans="1:71" ht="15" customHeight="1">
      <c r="A57" s="73" t="s">
        <v>229</v>
      </c>
      <c r="B57" s="958"/>
      <c r="C57" s="1012"/>
      <c r="D57" s="1012"/>
      <c r="E57" s="1012"/>
      <c r="F57" s="1012"/>
      <c r="G57" s="1012"/>
      <c r="H57" s="1012"/>
      <c r="I57" s="1012"/>
      <c r="J57" s="1012"/>
      <c r="K57" s="1012"/>
      <c r="L57" s="1012"/>
      <c r="M57" s="1012"/>
      <c r="N57" s="1012"/>
      <c r="O57" s="1012"/>
      <c r="P57" s="1012"/>
      <c r="Q57" s="1012"/>
      <c r="R57" s="1012"/>
      <c r="S57" s="1012"/>
      <c r="T57" s="1012"/>
      <c r="U57" s="1012"/>
      <c r="V57" s="1012"/>
      <c r="W57" s="1012"/>
      <c r="X57" s="1012"/>
      <c r="Y57" s="1012"/>
      <c r="Z57" s="1012"/>
      <c r="AA57" s="1012"/>
      <c r="AB57" s="1012"/>
      <c r="AC57" s="1012"/>
      <c r="AD57" s="1012"/>
      <c r="AE57" s="1012"/>
      <c r="AF57" s="1012"/>
      <c r="AG57" s="1012"/>
      <c r="AH57" s="1012"/>
      <c r="AI57" s="1012"/>
      <c r="AJ57" s="1012"/>
      <c r="AK57" s="1012"/>
      <c r="AL57" s="1012"/>
      <c r="AM57" s="1012"/>
      <c r="AN57" s="1012"/>
      <c r="AO57" s="1012"/>
      <c r="AP57" s="1012"/>
      <c r="AQ57" s="1012"/>
      <c r="AR57" s="1012"/>
      <c r="AS57" s="1012"/>
      <c r="AT57" s="1012"/>
      <c r="AU57" s="1012"/>
      <c r="AV57" s="1012"/>
      <c r="AW57" s="1012"/>
      <c r="AX57" s="1012"/>
      <c r="AY57" s="1012"/>
      <c r="AZ57" s="1012"/>
      <c r="BA57" s="1012"/>
      <c r="BB57" s="1012"/>
      <c r="BC57" s="1012"/>
      <c r="BD57" s="1012"/>
      <c r="BE57" s="1012"/>
      <c r="BF57" s="1012"/>
      <c r="BG57" s="1012"/>
      <c r="BH57" s="1013"/>
      <c r="BI57" s="1014"/>
      <c r="BJ57" s="1014"/>
      <c r="BK57" s="1014"/>
      <c r="BL57" s="1014"/>
      <c r="BM57" s="1014"/>
      <c r="BN57" s="1014"/>
      <c r="BO57" s="1014"/>
      <c r="BP57" s="1012"/>
      <c r="BQ57" s="1012"/>
      <c r="BR57" s="1014"/>
      <c r="BS57" s="959"/>
    </row>
    <row r="58" spans="1:71" s="705" customFormat="1" ht="15">
      <c r="A58" s="221" t="str">
        <f>INDEX(MO_DS_DPS,0,COLUMN())</f>
        <v>Dividend Per Common Share</v>
      </c>
      <c r="B58" s="222"/>
      <c r="C58" s="1298">
        <f t="shared" si="188" ref="C58:AU58">INDEX(MO_DS_DPS,0,COLUMN())</f>
        <v>0.52</v>
      </c>
      <c r="D58" s="1298">
        <f t="shared" si="188"/>
        <v>0.57499999999999996</v>
      </c>
      <c r="E58" s="1298">
        <f t="shared" si="188"/>
        <v>0.6625</v>
      </c>
      <c r="F58" s="1298">
        <f t="shared" si="188"/>
        <v>0.97</v>
      </c>
      <c r="G58" s="1298">
        <f t="shared" si="188"/>
        <v>1.8050000000000002</v>
      </c>
      <c r="H58" s="348">
        <f t="shared" si="188"/>
        <v>0.22</v>
      </c>
      <c r="I58" s="348">
        <f t="shared" si="188"/>
        <v>0.22</v>
      </c>
      <c r="J58" s="348">
        <f t="shared" si="188"/>
        <v>0.22</v>
      </c>
      <c r="K58" s="348">
        <f t="shared" si="188"/>
        <v>1.25</v>
      </c>
      <c r="L58" s="1298">
        <f t="shared" si="188"/>
        <v>1.91</v>
      </c>
      <c r="M58" s="348">
        <f t="shared" si="188"/>
        <v>0.25</v>
      </c>
      <c r="N58" s="348">
        <f t="shared" si="188"/>
        <v>0.25</v>
      </c>
      <c r="O58" s="348">
        <f t="shared" si="188"/>
        <v>0.25</v>
      </c>
      <c r="P58" s="348">
        <f t="shared" si="188"/>
        <v>1.28</v>
      </c>
      <c r="Q58" s="1298">
        <f t="shared" si="188"/>
        <v>2.0300000000000002</v>
      </c>
      <c r="R58" s="348">
        <f t="shared" si="188"/>
        <v>0.28000000000000003</v>
      </c>
      <c r="S58" s="348">
        <f t="shared" si="188"/>
        <v>0.28000000000000003</v>
      </c>
      <c r="T58" s="348">
        <f t="shared" si="188"/>
        <v>0.28000000000000003</v>
      </c>
      <c r="U58" s="348">
        <f t="shared" si="188"/>
        <v>1.3125</v>
      </c>
      <c r="V58" s="1298">
        <f t="shared" si="188"/>
        <v>2.1525</v>
      </c>
      <c r="W58" s="348">
        <f t="shared" si="188"/>
        <v>0.313</v>
      </c>
      <c r="X58" s="348">
        <f t="shared" si="188"/>
        <v>1.8125</v>
      </c>
      <c r="Y58" s="348">
        <f t="shared" si="188"/>
        <v>0.3125</v>
      </c>
      <c r="Z58" s="348">
        <f t="shared" si="188"/>
        <v>2.35</v>
      </c>
      <c r="AA58" s="1298">
        <f t="shared" si="188"/>
        <v>4.7880000000000003</v>
      </c>
      <c r="AB58" s="348">
        <f t="shared" si="188"/>
        <v>0.35</v>
      </c>
      <c r="AC58" s="348">
        <f t="shared" si="188"/>
        <v>1.85</v>
      </c>
      <c r="AD58" s="348">
        <f t="shared" si="188"/>
        <v>0.35</v>
      </c>
      <c r="AE58" s="348">
        <f t="shared" si="188"/>
        <v>1.90</v>
      </c>
      <c r="AF58" s="1298">
        <f t="shared" si="188"/>
        <v>4.45</v>
      </c>
      <c r="AG58" s="348">
        <f t="shared" si="188"/>
        <v>0.40</v>
      </c>
      <c r="AH58" s="348">
        <f t="shared" si="188"/>
        <v>1.90</v>
      </c>
      <c r="AI58" s="348">
        <f t="shared" si="188"/>
        <v>0.40</v>
      </c>
      <c r="AJ58" s="348">
        <f t="shared" si="188"/>
        <v>2.25</v>
      </c>
      <c r="AK58" s="1298">
        <f t="shared" si="188"/>
        <v>4.9499999999999993</v>
      </c>
      <c r="AL58" s="348">
        <f t="shared" si="189" ref="AL58:AQ58">INDEX(MO_DS_DPS,0,COLUMN())</f>
        <v>0.45</v>
      </c>
      <c r="AM58" s="348">
        <f t="shared" si="189"/>
        <v>0.45</v>
      </c>
      <c r="AN58" s="348">
        <f t="shared" si="189"/>
        <v>0.45</v>
      </c>
      <c r="AO58" s="348">
        <f t="shared" si="189"/>
        <v>2.25</v>
      </c>
      <c r="AP58" s="1298">
        <f t="shared" si="189"/>
        <v>3.60</v>
      </c>
      <c r="AQ58" s="348">
        <f t="shared" si="189"/>
        <v>0.50</v>
      </c>
      <c r="AR58" s="348">
        <f t="shared" si="188"/>
        <v>14.50</v>
      </c>
      <c r="AS58" s="348">
        <f t="shared" si="188"/>
        <v>2</v>
      </c>
      <c r="AT58" s="348">
        <f t="shared" si="188"/>
        <v>10.56</v>
      </c>
      <c r="AU58" s="1276">
        <f t="shared" si="188"/>
        <v>27.56</v>
      </c>
      <c r="AV58" s="348">
        <f t="shared" si="190" ref="AV58:BE58">INDEX(MO_DS_DPS,0,COLUMN())</f>
        <v>2.56</v>
      </c>
      <c r="AW58" s="348">
        <f t="shared" si="190"/>
        <v>8.56</v>
      </c>
      <c r="AX58" s="348">
        <f t="shared" si="190"/>
        <v>0.56000000000000005</v>
      </c>
      <c r="AY58" s="348">
        <f t="shared" si="190"/>
        <v>2.63</v>
      </c>
      <c r="AZ58" s="1276">
        <f t="shared" si="190"/>
        <v>14.310000000000002</v>
      </c>
      <c r="BA58" s="348">
        <f t="shared" si="190"/>
        <v>4.63</v>
      </c>
      <c r="BB58" s="348">
        <f t="shared" si="190"/>
        <v>0.63</v>
      </c>
      <c r="BC58" s="348">
        <f>INDEX(MO_DS_DPS,0,COLUMN())</f>
        <v>0.63</v>
      </c>
      <c r="BD58" s="348">
        <f t="shared" si="190"/>
        <v>2.21</v>
      </c>
      <c r="BE58" s="1276">
        <f t="shared" si="190"/>
        <v>8.10</v>
      </c>
      <c r="BF58" s="348">
        <f t="shared" si="191" ref="BF58:BJ58">INDEX(MO_DS_DPS,0,COLUMN())</f>
        <v>3.21</v>
      </c>
      <c r="BG58" s="348">
        <f t="shared" si="191"/>
        <v>0.71</v>
      </c>
      <c r="BH58" s="915">
        <f>INDEX(MO_DS_DPS,0,COLUMN())</f>
        <v>0.71</v>
      </c>
      <c r="BI58" s="349">
        <f t="shared" si="191"/>
        <v>4.80</v>
      </c>
      <c r="BJ58" s="1277">
        <f t="shared" si="191"/>
        <v>9.43</v>
      </c>
      <c r="BK58" s="349">
        <f t="shared" si="192" ref="BK58:BR58">INDEX(MO_DS_DPS,0,COLUMN())</f>
        <v>0.80</v>
      </c>
      <c r="BL58" s="349">
        <f t="shared" si="192"/>
        <v>0.80</v>
      </c>
      <c r="BM58" s="349">
        <f t="shared" si="192"/>
        <v>0.80</v>
      </c>
      <c r="BN58" s="349">
        <f t="shared" si="192"/>
        <v>0.80</v>
      </c>
      <c r="BO58" s="1277">
        <f t="shared" si="192"/>
        <v>3.20</v>
      </c>
      <c r="BP58" s="1276">
        <f t="shared" si="192"/>
        <v>3.20</v>
      </c>
      <c r="BQ58" s="1276">
        <f t="shared" si="192"/>
        <v>3.20</v>
      </c>
      <c r="BR58" s="1277">
        <f t="shared" si="192"/>
        <v>3.20</v>
      </c>
      <c r="BS58" s="246"/>
    </row>
    <row r="59" spans="1:71" ht="15">
      <c r="A59" s="223" t="str">
        <f>INDEX(MO_DS_PayoutRatio,0,COLUMN())</f>
        <v>Payout Ratio</v>
      </c>
      <c r="B59" s="220"/>
      <c r="C59" s="1299">
        <f t="shared" si="193" ref="C59:AU59">INDEX(MO_DS_PayoutRatio,0,COLUMN())</f>
        <v>0.11560693641618497</v>
      </c>
      <c r="D59" s="1299">
        <f t="shared" si="193"/>
        <v>0.13152400835073069</v>
      </c>
      <c r="E59" s="1299">
        <f t="shared" si="193"/>
        <v>0.195906432748538</v>
      </c>
      <c r="F59" s="1299">
        <f t="shared" si="193"/>
        <v>0.18442622950819673</v>
      </c>
      <c r="G59" s="1299">
        <f t="shared" si="193"/>
        <v>0.33970276008492567</v>
      </c>
      <c r="H59" s="341">
        <f t="shared" si="193"/>
        <v>0.18446601941747573</v>
      </c>
      <c r="I59" s="341">
        <f t="shared" si="193"/>
        <v>0.18867924528301888</v>
      </c>
      <c r="J59" s="341">
        <f t="shared" si="193"/>
        <v>0.17241379310344829</v>
      </c>
      <c r="K59" s="341">
        <f t="shared" si="193"/>
        <v>0.85039370078740162</v>
      </c>
      <c r="L59" s="1299">
        <f t="shared" si="193"/>
        <v>0.36946902654867259</v>
      </c>
      <c r="M59" s="341">
        <f t="shared" si="193"/>
        <v>1.1578947368421053</v>
      </c>
      <c r="N59" s="341">
        <f t="shared" si="193"/>
        <v>0.15602836879432624</v>
      </c>
      <c r="O59" s="341">
        <f t="shared" si="193"/>
        <v>0.33333333333333331</v>
      </c>
      <c r="P59" s="341">
        <f t="shared" si="193"/>
        <v>0.86046511627906974</v>
      </c>
      <c r="Q59" s="1299">
        <f t="shared" si="193"/>
        <v>0.50</v>
      </c>
      <c r="R59" s="341">
        <f t="shared" si="193"/>
        <v>0.23762376237623761</v>
      </c>
      <c r="S59" s="341">
        <f t="shared" si="193"/>
        <v>0.44444444444444442</v>
      </c>
      <c r="T59" s="341">
        <f t="shared" si="193"/>
        <v>0.22018348623853212</v>
      </c>
      <c r="U59" s="341">
        <f t="shared" si="193"/>
        <v>0.29350649350649349</v>
      </c>
      <c r="V59" s="1299">
        <f t="shared" si="193"/>
        <v>0.28505392912172572</v>
      </c>
      <c r="W59" s="341">
        <f t="shared" si="193"/>
        <v>0.17647058823529413</v>
      </c>
      <c r="X59" s="341">
        <f t="shared" si="193"/>
        <v>1.0896551724137931</v>
      </c>
      <c r="Y59" s="341">
        <f t="shared" si="193"/>
        <v>2.4545454545454546</v>
      </c>
      <c r="Z59" s="341">
        <f t="shared" si="193"/>
        <v>1.2349397590361446</v>
      </c>
      <c r="AA59" s="1299">
        <f t="shared" si="193"/>
        <v>0.87789473684210528</v>
      </c>
      <c r="AB59" s="341">
        <f t="shared" si="193"/>
        <v>0.21379310344827587</v>
      </c>
      <c r="AC59" s="341">
        <f t="shared" si="193"/>
        <v>0.77619047619047621</v>
      </c>
      <c r="AD59" s="341">
        <f t="shared" si="193"/>
        <v>0.15196078431372548</v>
      </c>
      <c r="AE59" s="341">
        <f t="shared" si="193"/>
        <v>-5.8275862068965516</v>
      </c>
      <c r="AF59" s="1299">
        <f t="shared" si="193"/>
        <v>0.74339622641509429</v>
      </c>
      <c r="AG59" s="341">
        <f t="shared" si="193"/>
        <v>0.10942249240121581</v>
      </c>
      <c r="AH59" s="341">
        <f t="shared" si="193"/>
        <v>0.80476190476190479</v>
      </c>
      <c r="AI59" s="341">
        <f t="shared" si="193"/>
        <v>0.24489795918367346</v>
      </c>
      <c r="AJ59" s="341">
        <f t="shared" si="193"/>
        <v>0.96208530805687209</v>
      </c>
      <c r="AK59" s="1299">
        <f t="shared" si="193"/>
        <v>0.49498327759197325</v>
      </c>
      <c r="AL59" s="341">
        <f t="shared" si="194" ref="AL59:AQ59">INDEX(MO_DS_PayoutRatio,0,COLUMN())</f>
        <v>-0.13289036544850499</v>
      </c>
      <c r="AM59" s="341">
        <f t="shared" si="194"/>
        <v>0.23163841807909605</v>
      </c>
      <c r="AN59" s="341">
        <f t="shared" si="194"/>
        <v>0.23170731707317074</v>
      </c>
      <c r="AO59" s="341">
        <f t="shared" si="194"/>
        <v>0.31069364161849711</v>
      </c>
      <c r="AP59" s="1299">
        <f t="shared" si="194"/>
        <v>0.45628415300546449</v>
      </c>
      <c r="AQ59" s="341">
        <f t="shared" si="194"/>
        <v>0.1026252983293556</v>
      </c>
      <c r="AR59" s="341">
        <f t="shared" si="193"/>
        <v>1.2255489021956087</v>
      </c>
      <c r="AS59" s="341">
        <f t="shared" si="193"/>
        <v>0.9634703196347032</v>
      </c>
      <c r="AT59" s="341">
        <f t="shared" si="193"/>
        <v>2.5126760563380284</v>
      </c>
      <c r="AU59" s="1287">
        <f t="shared" si="193"/>
        <v>1.1899749373433584</v>
      </c>
      <c r="AV59" s="341">
        <f t="shared" si="195" ref="AV59:BE59">INDEX(MO_DS_PayoutRatio,0,COLUMN())</f>
        <v>0.7448275862068966</v>
      </c>
      <c r="AW59" s="341">
        <f t="shared" si="195"/>
        <v>4.3473053892215567</v>
      </c>
      <c r="AX59" s="341">
        <f t="shared" si="195"/>
        <v>0.28484848484848485</v>
      </c>
      <c r="AY59" s="341">
        <f t="shared" si="195"/>
        <v>0.81159420289855078</v>
      </c>
      <c r="AZ59" s="1287">
        <f t="shared" si="195"/>
        <v>1.3507795100222717</v>
      </c>
      <c r="BA59" s="341">
        <f t="shared" si="195"/>
        <v>1.8537735849056605</v>
      </c>
      <c r="BB59" s="341">
        <f t="shared" si="195"/>
        <v>0.265</v>
      </c>
      <c r="BC59" s="341">
        <f>INDEX(MO_DS_PayoutRatio,0,COLUMN())</f>
        <v>0.29378531073446329</v>
      </c>
      <c r="BD59" s="341">
        <f t="shared" si="195"/>
        <v>0.70722433460076051</v>
      </c>
      <c r="BE59" s="1287">
        <f t="shared" si="195"/>
        <v>0.80281690140845074</v>
      </c>
      <c r="BF59" s="341">
        <f t="shared" si="196" ref="BF59:BJ59">INDEX(MO_DS_PayoutRatio,0,COLUMN())</f>
        <v>1.1074380165289257</v>
      </c>
      <c r="BG59" s="341">
        <f t="shared" si="196"/>
        <v>0.28229665071770332</v>
      </c>
      <c r="BH59" s="916">
        <f>INDEX(MO_DS_PayoutRatio,0,COLUMN())</f>
        <v>0.32044198895027626</v>
      </c>
      <c r="BI59" s="86">
        <f t="shared" ca="1" si="196"/>
        <v>1.2767744186859185</v>
      </c>
      <c r="BJ59" s="1288">
        <f t="shared" ca="1" si="196"/>
        <v>0.83147851250022609</v>
      </c>
      <c r="BK59" s="86">
        <f ca="1" t="shared" si="197" ref="BK59:BR59">INDEX(MO_DS_PayoutRatio,0,COLUMN())</f>
        <v>0.22885977073164598</v>
      </c>
      <c r="BL59" s="86">
        <f t="shared" ca="1" si="197"/>
        <v>0.25845218164122286</v>
      </c>
      <c r="BM59" s="86">
        <f t="shared" ca="1" si="197"/>
        <v>0.23993840615408399</v>
      </c>
      <c r="BN59" s="86">
        <f t="shared" ca="1" si="197"/>
        <v>0.19911756718192145</v>
      </c>
      <c r="BO59" s="1288">
        <f t="shared" ca="1" si="197"/>
        <v>0.22950820944697101</v>
      </c>
      <c r="BP59" s="1287">
        <f t="shared" ca="1" si="197"/>
        <v>0.21268348686959931</v>
      </c>
      <c r="BQ59" s="1287">
        <f t="shared" ca="1" si="197"/>
        <v>0.17168117298438687</v>
      </c>
      <c r="BR59" s="1288">
        <f t="shared" ca="1" si="197"/>
        <v>0.16418218779016744</v>
      </c>
      <c r="BS59" s="79"/>
    </row>
    <row r="60" spans="1:71" ht="15">
      <c r="A60" s="79"/>
      <c r="B60" s="220"/>
      <c r="C60" s="1297"/>
      <c r="D60" s="1297"/>
      <c r="E60" s="1297"/>
      <c r="F60" s="1297"/>
      <c r="G60" s="1297"/>
      <c r="H60" s="340"/>
      <c r="I60" s="340"/>
      <c r="J60" s="340"/>
      <c r="K60" s="340"/>
      <c r="L60" s="1297"/>
      <c r="M60" s="340"/>
      <c r="N60" s="340"/>
      <c r="O60" s="340"/>
      <c r="P60" s="340"/>
      <c r="Q60" s="1297"/>
      <c r="R60" s="340"/>
      <c r="S60" s="340"/>
      <c r="T60" s="340"/>
      <c r="U60" s="340"/>
      <c r="V60" s="1297"/>
      <c r="W60" s="340"/>
      <c r="X60" s="340"/>
      <c r="Y60" s="340"/>
      <c r="Z60" s="340"/>
      <c r="AA60" s="1297"/>
      <c r="AB60" s="340"/>
      <c r="AC60" s="340"/>
      <c r="AD60" s="340"/>
      <c r="AE60" s="340"/>
      <c r="AF60" s="1297"/>
      <c r="AG60" s="340"/>
      <c r="AH60" s="340"/>
      <c r="AI60" s="340"/>
      <c r="AJ60" s="340"/>
      <c r="AK60" s="1297"/>
      <c r="AL60" s="340"/>
      <c r="AM60" s="340"/>
      <c r="AN60" s="340"/>
      <c r="AO60" s="340"/>
      <c r="AP60" s="1297"/>
      <c r="AQ60" s="340"/>
      <c r="AR60" s="340"/>
      <c r="AS60" s="340"/>
      <c r="AT60" s="341"/>
      <c r="AU60" s="1287"/>
      <c r="AV60" s="340"/>
      <c r="AW60" s="340"/>
      <c r="AX60" s="340"/>
      <c r="AY60" s="341"/>
      <c r="AZ60" s="1287"/>
      <c r="BA60" s="340"/>
      <c r="BB60" s="340"/>
      <c r="BC60" s="340"/>
      <c r="BD60" s="341"/>
      <c r="BE60" s="1287"/>
      <c r="BF60" s="340"/>
      <c r="BG60" s="340"/>
      <c r="BH60" s="914"/>
      <c r="BI60" s="86"/>
      <c r="BJ60" s="1288"/>
      <c r="BK60" s="85"/>
      <c r="BL60" s="85"/>
      <c r="BM60" s="85"/>
      <c r="BN60" s="86"/>
      <c r="BO60" s="1288"/>
      <c r="BP60" s="1287"/>
      <c r="BQ60" s="1287"/>
      <c r="BR60" s="1288"/>
      <c r="BS60" s="79"/>
    </row>
    <row r="61" spans="1:71" ht="15">
      <c r="A61" s="73" t="s">
        <v>439</v>
      </c>
      <c r="B61" s="958"/>
      <c r="C61" s="1012"/>
      <c r="D61" s="1012"/>
      <c r="E61" s="1012"/>
      <c r="F61" s="1012"/>
      <c r="G61" s="1012"/>
      <c r="H61" s="1012"/>
      <c r="I61" s="1012"/>
      <c r="J61" s="1012"/>
      <c r="K61" s="1012"/>
      <c r="L61" s="1012"/>
      <c r="M61" s="1012"/>
      <c r="N61" s="1012"/>
      <c r="O61" s="1012"/>
      <c r="P61" s="1012"/>
      <c r="Q61" s="1012"/>
      <c r="R61" s="1012"/>
      <c r="S61" s="1012"/>
      <c r="T61" s="1012"/>
      <c r="U61" s="1012"/>
      <c r="V61" s="1012"/>
      <c r="W61" s="1012"/>
      <c r="X61" s="1012"/>
      <c r="Y61" s="1012"/>
      <c r="Z61" s="1012"/>
      <c r="AA61" s="1012"/>
      <c r="AB61" s="1012"/>
      <c r="AC61" s="1012"/>
      <c r="AD61" s="1012"/>
      <c r="AE61" s="1012"/>
      <c r="AF61" s="1012"/>
      <c r="AG61" s="1012"/>
      <c r="AH61" s="1012"/>
      <c r="AI61" s="1012"/>
      <c r="AJ61" s="1012"/>
      <c r="AK61" s="1012"/>
      <c r="AL61" s="1012"/>
      <c r="AM61" s="1012"/>
      <c r="AN61" s="1012"/>
      <c r="AO61" s="1012"/>
      <c r="AP61" s="1012"/>
      <c r="AQ61" s="1012"/>
      <c r="AR61" s="1012"/>
      <c r="AS61" s="1012"/>
      <c r="AT61" s="1012"/>
      <c r="AU61" s="1012"/>
      <c r="AV61" s="1012"/>
      <c r="AW61" s="1012"/>
      <c r="AX61" s="1012"/>
      <c r="AY61" s="1012"/>
      <c r="AZ61" s="1012"/>
      <c r="BA61" s="1012"/>
      <c r="BB61" s="1012"/>
      <c r="BC61" s="1012"/>
      <c r="BD61" s="1012"/>
      <c r="BE61" s="1012"/>
      <c r="BF61" s="1012"/>
      <c r="BG61" s="1012"/>
      <c r="BH61" s="1013"/>
      <c r="BI61" s="1014"/>
      <c r="BJ61" s="1014"/>
      <c r="BK61" s="1014"/>
      <c r="BL61" s="1014"/>
      <c r="BM61" s="1014"/>
      <c r="BN61" s="1014"/>
      <c r="BO61" s="1014"/>
      <c r="BP61" s="1012"/>
      <c r="BQ61" s="1012"/>
      <c r="BR61" s="1014"/>
      <c r="BS61" s="959"/>
    </row>
    <row r="62" spans="1:71" s="711" customFormat="1" ht="15" customHeight="1">
      <c r="A62" s="224" t="s">
        <v>245</v>
      </c>
      <c r="B62" s="225"/>
      <c r="C62" s="1300">
        <f t="shared" si="198" ref="C62:AU62">INDEX(MO_BSS_ROA,0,COLUMN())</f>
        <v>0</v>
      </c>
      <c r="D62" s="1300">
        <f t="shared" si="198"/>
        <v>0</v>
      </c>
      <c r="E62" s="1300">
        <f t="shared" si="198"/>
        <v>0.010047151103864628</v>
      </c>
      <c r="F62" s="1300">
        <f t="shared" si="198"/>
        <v>0.013011771920702849</v>
      </c>
      <c r="G62" s="1300">
        <f t="shared" si="198"/>
        <v>0.011592704718304659</v>
      </c>
      <c r="H62" s="342">
        <f t="shared" si="198"/>
        <v>0.0098453214754757358</v>
      </c>
      <c r="I62" s="342">
        <f t="shared" si="198"/>
        <v>0.0096491310108331382</v>
      </c>
      <c r="J62" s="342">
        <f t="shared" si="198"/>
        <v>0.01001484960458611</v>
      </c>
      <c r="K62" s="342">
        <f t="shared" si="198"/>
        <v>0.01071048488424913</v>
      </c>
      <c r="L62" s="1300">
        <f t="shared" si="198"/>
        <v>0.010075836272118912</v>
      </c>
      <c r="M62" s="342">
        <f t="shared" si="198"/>
        <v>0.0016079705255640649</v>
      </c>
      <c r="N62" s="342">
        <f t="shared" si="198"/>
        <v>0.011573593855571938</v>
      </c>
      <c r="O62" s="342">
        <f t="shared" si="198"/>
        <v>0.0049998630174515769</v>
      </c>
      <c r="P62" s="342">
        <f t="shared" si="198"/>
        <v>0.010195698513075873</v>
      </c>
      <c r="Q62" s="1300">
        <f t="shared" si="198"/>
        <v>0.0071643735243832937</v>
      </c>
      <c r="R62" s="342">
        <f t="shared" si="198"/>
        <v>0.0080539237713958909</v>
      </c>
      <c r="S62" s="342">
        <f t="shared" si="198"/>
        <v>0.0041858864844091931</v>
      </c>
      <c r="T62" s="342">
        <f t="shared" si="198"/>
        <v>0.0080616935578391256</v>
      </c>
      <c r="U62" s="342">
        <f t="shared" si="198"/>
        <v>0.02786885440437073</v>
      </c>
      <c r="V62" s="1300">
        <f t="shared" si="198"/>
        <v>0.012313822218005881</v>
      </c>
      <c r="W62" s="342">
        <f t="shared" si="198"/>
        <v>0.011027582284779982</v>
      </c>
      <c r="X62" s="342">
        <f t="shared" si="198"/>
        <v>0.01002038914893621</v>
      </c>
      <c r="Y62" s="342">
        <f t="shared" si="198"/>
        <v>0.00073481961505335173</v>
      </c>
      <c r="Z62" s="342">
        <f t="shared" si="198"/>
        <v>0.010901862367001417</v>
      </c>
      <c r="AA62" s="1300">
        <f t="shared" si="198"/>
        <v>0.0081342580700402428</v>
      </c>
      <c r="AB62" s="342">
        <f t="shared" si="198"/>
        <v>0.0096947682139828135</v>
      </c>
      <c r="AC62" s="342">
        <f t="shared" si="198"/>
        <v>0.013753085024209197</v>
      </c>
      <c r="AD62" s="342">
        <f t="shared" si="198"/>
        <v>0.012844344348488487</v>
      </c>
      <c r="AE62" s="342">
        <f t="shared" si="198"/>
        <v>-0.0018027098040845299</v>
      </c>
      <c r="AF62" s="1300">
        <f t="shared" si="198"/>
        <v>0.0085265481315598118</v>
      </c>
      <c r="AG62" s="342">
        <f t="shared" si="198"/>
        <v>0.020592613170629652</v>
      </c>
      <c r="AH62" s="342">
        <f t="shared" si="198"/>
        <v>0.01258782016315884</v>
      </c>
      <c r="AI62" s="342">
        <f t="shared" si="198"/>
        <v>0.0085286555195684607</v>
      </c>
      <c r="AJ62" s="342">
        <f t="shared" si="198"/>
        <v>0.012027839180691989</v>
      </c>
      <c r="AK62" s="1300">
        <f t="shared" si="198"/>
        <v>0.013329093383895723</v>
      </c>
      <c r="AL62" s="342">
        <f t="shared" si="199" ref="AL62:AQ62">INDEX(MO_BSS_ROA,0,COLUMN())</f>
        <v>-0.017574058554511909</v>
      </c>
      <c r="AM62" s="342">
        <f t="shared" si="199"/>
        <v>0.010279259402066419</v>
      </c>
      <c r="AN62" s="342">
        <f t="shared" si="199"/>
        <v>0.0090630417720704778</v>
      </c>
      <c r="AO62" s="342">
        <f t="shared" si="199"/>
        <v>0.03753792742833361</v>
      </c>
      <c r="AP62" s="1300">
        <f t="shared" si="199"/>
        <v>0.010300690089948102</v>
      </c>
      <c r="AQ62" s="342">
        <f t="shared" si="199"/>
        <v>0.023000044365338788</v>
      </c>
      <c r="AR62" s="342">
        <f t="shared" si="198"/>
        <v>0.078056478417724132</v>
      </c>
      <c r="AS62" s="342">
        <f t="shared" si="198"/>
        <v>0.029592271913496608</v>
      </c>
      <c r="AT62" s="342">
        <f t="shared" si="198"/>
        <v>0.047839673682290661</v>
      </c>
      <c r="AU62" s="1300">
        <f t="shared" si="198"/>
        <v>0.042370361560418644</v>
      </c>
      <c r="AV62" s="342">
        <f t="shared" si="200" ref="AV62:BE62">INDEX(MO_BSS_ROA,0,COLUMN())</f>
        <v>0.040765709818239237</v>
      </c>
      <c r="AW62" s="342">
        <f t="shared" si="200"/>
        <v>0.023566659565674448</v>
      </c>
      <c r="AX62" s="342">
        <f t="shared" si="200"/>
        <v>0.022723533921736719</v>
      </c>
      <c r="AY62" s="342">
        <f t="shared" si="200"/>
        <v>0.037523773623699949</v>
      </c>
      <c r="AZ62" s="1300">
        <f t="shared" si="200"/>
        <v>0.031148541776507482</v>
      </c>
      <c r="BA62" s="342">
        <f t="shared" si="200"/>
        <v>0.030003412122340093</v>
      </c>
      <c r="BB62" s="342">
        <f t="shared" si="200"/>
        <v>0.027888466762773633</v>
      </c>
      <c r="BC62" s="342">
        <f>INDEX(MO_BSS_ROA,0,COLUMN())</f>
        <v>0.023457259895764877</v>
      </c>
      <c r="BD62" s="342">
        <f t="shared" si="200"/>
        <v>0.034429615028162025</v>
      </c>
      <c r="BE62" s="1300">
        <f t="shared" si="200"/>
        <v>0.02898511281060338</v>
      </c>
      <c r="BF62" s="342">
        <f t="shared" si="201" ref="BF62:BJ62">INDEX(MO_BSS_ROA,0,COLUMN())</f>
        <v>0.032558997836311013</v>
      </c>
      <c r="BG62" s="342">
        <f t="shared" si="201"/>
        <v>0.028059999552472098</v>
      </c>
      <c r="BH62" s="917">
        <f>INDEX(MO_BSS_ROA,0,COLUMN())</f>
        <v>0.023040612357330872</v>
      </c>
      <c r="BI62" s="88">
        <f t="shared" ca="1" si="201"/>
        <v>0.038350172252804515</v>
      </c>
      <c r="BJ62" s="1301">
        <f t="shared" ca="1" si="201"/>
        <v>0.030533346653075777</v>
      </c>
      <c r="BK62" s="88">
        <f ca="1" t="shared" si="202" ref="BK62:BR62">INDEX(MO_BSS_ROA,0,COLUMN())</f>
        <v>0.035845212610062654</v>
      </c>
      <c r="BL62" s="88">
        <f t="shared" ca="1" si="202"/>
        <v>0.030770769605282675</v>
      </c>
      <c r="BM62" s="88">
        <f t="shared" ca="1" si="202"/>
        <v>0.032016982368086942</v>
      </c>
      <c r="BN62" s="88">
        <f t="shared" ca="1" si="202"/>
        <v>0.037678757899842499</v>
      </c>
      <c r="BO62" s="1301">
        <f t="shared" ca="1" si="202"/>
        <v>0.034095227165591754</v>
      </c>
      <c r="BP62" s="1300">
        <f t="shared" ca="1" si="202"/>
        <v>0.033709523818222092</v>
      </c>
      <c r="BQ62" s="1300">
        <f t="shared" ca="1" si="202"/>
        <v>0.038245767172740468</v>
      </c>
      <c r="BR62" s="1301">
        <f t="shared" ca="1" si="202"/>
        <v>0.036597981484743372</v>
      </c>
      <c r="BS62" s="247"/>
    </row>
    <row r="63" spans="1:71" s="711" customFormat="1" ht="15" customHeight="1">
      <c r="A63" s="224" t="s">
        <v>246</v>
      </c>
      <c r="B63" s="225"/>
      <c r="C63" s="1300">
        <f t="shared" si="203" ref="C63:AU63">INDEX(MO_BSS_ROE,0,COLUMN())</f>
        <v>0</v>
      </c>
      <c r="D63" s="1300">
        <f t="shared" si="203"/>
        <v>0</v>
      </c>
      <c r="E63" s="1300">
        <f t="shared" si="203"/>
        <v>0.080698442661632841</v>
      </c>
      <c r="F63" s="1300">
        <f t="shared" si="203"/>
        <v>0.11165770506807002</v>
      </c>
      <c r="G63" s="1300">
        <f t="shared" si="203"/>
        <v>0.10405390478294488</v>
      </c>
      <c r="H63" s="342">
        <f t="shared" si="203"/>
        <v>0.089861723614547112</v>
      </c>
      <c r="I63" s="342">
        <f t="shared" si="203"/>
        <v>0.087653816135415966</v>
      </c>
      <c r="J63" s="342">
        <f t="shared" si="203"/>
        <v>0.093388269339356289</v>
      </c>
      <c r="K63" s="342">
        <f t="shared" si="203"/>
        <v>0.10300699083147785</v>
      </c>
      <c r="L63" s="1300">
        <f t="shared" si="203"/>
        <v>0.094033452608804191</v>
      </c>
      <c r="M63" s="342">
        <f t="shared" si="203"/>
        <v>0.015719207579672698</v>
      </c>
      <c r="N63" s="342">
        <f t="shared" si="203"/>
        <v>0.11630837029294612</v>
      </c>
      <c r="O63" s="342">
        <f t="shared" si="203"/>
        <v>0.052476517357529513</v>
      </c>
      <c r="P63" s="342">
        <f t="shared" si="203"/>
        <v>0.1098740829241884</v>
      </c>
      <c r="Q63" s="1300">
        <f t="shared" si="203"/>
        <v>0.073572443775604054</v>
      </c>
      <c r="R63" s="342">
        <f t="shared" si="203"/>
        <v>0.086919820310212947</v>
      </c>
      <c r="S63" s="342">
        <f t="shared" si="203"/>
        <v>0.0445283061377372</v>
      </c>
      <c r="T63" s="342">
        <f t="shared" si="203"/>
        <v>0.0853519210279714</v>
      </c>
      <c r="U63" s="342">
        <f t="shared" si="203"/>
        <v>0.30398539938128583</v>
      </c>
      <c r="V63" s="1300">
        <f t="shared" si="203"/>
        <v>0.13286112020962987</v>
      </c>
      <c r="W63" s="342">
        <f t="shared" si="203"/>
        <v>0.12278618779064016</v>
      </c>
      <c r="X63" s="342">
        <f t="shared" si="203"/>
        <v>0.11074805419278427</v>
      </c>
      <c r="Y63" s="342">
        <f t="shared" si="203"/>
        <v>0.008164120166088501</v>
      </c>
      <c r="Z63" s="342">
        <f t="shared" si="203"/>
        <v>0.1229969103598355</v>
      </c>
      <c r="AA63" s="1300">
        <f t="shared" si="203"/>
        <v>0.09089865278628291</v>
      </c>
      <c r="AB63" s="342">
        <f t="shared" si="203"/>
        <v>0.11187207372882252</v>
      </c>
      <c r="AC63" s="342">
        <f t="shared" si="203"/>
        <v>0.16408058679413504</v>
      </c>
      <c r="AD63" s="342">
        <f t="shared" si="203"/>
        <v>0.15795234701150596</v>
      </c>
      <c r="AE63" s="342">
        <f t="shared" si="203"/>
        <v>-0.022706601110338849</v>
      </c>
      <c r="AF63" s="1300">
        <f t="shared" si="203"/>
        <v>0.10298861295713342</v>
      </c>
      <c r="AG63" s="342">
        <f t="shared" si="203"/>
        <v>0.25092200804471604</v>
      </c>
      <c r="AH63" s="342">
        <f t="shared" si="203"/>
        <v>0.14331053888688935</v>
      </c>
      <c r="AI63" s="342">
        <f t="shared" si="203"/>
        <v>0.093982196718899444</v>
      </c>
      <c r="AJ63" s="342">
        <f t="shared" si="203"/>
        <v>0.13298166246503437</v>
      </c>
      <c r="AK63" s="1300">
        <f t="shared" si="203"/>
        <v>0.15299334811529933</v>
      </c>
      <c r="AL63" s="342">
        <f t="shared" si="204" ref="AL63:AQ63">INDEX(MO_BSS_ROE,0,COLUMN())</f>
        <v>-0.21396525002039316</v>
      </c>
      <c r="AM63" s="342">
        <f t="shared" si="204"/>
        <v>0.12743043227246217</v>
      </c>
      <c r="AN63" s="342">
        <f t="shared" si="204"/>
        <v>0.10467427925697026</v>
      </c>
      <c r="AO63" s="342">
        <f t="shared" si="204"/>
        <v>0.4193703285458345</v>
      </c>
      <c r="AP63" s="1300">
        <f t="shared" si="204"/>
        <v>0.11972130450426875</v>
      </c>
      <c r="AQ63" s="342">
        <f t="shared" si="204"/>
        <v>0.25223063348341662</v>
      </c>
      <c r="AR63" s="342">
        <f t="shared" si="203"/>
        <v>0.65424238792299994</v>
      </c>
      <c r="AS63" s="342">
        <f t="shared" si="203"/>
        <v>0.16029124539289252</v>
      </c>
      <c r="AT63" s="342">
        <f t="shared" si="203"/>
        <v>0.27476081019186077</v>
      </c>
      <c r="AU63" s="1300">
        <f t="shared" si="203"/>
        <v>0.34013025539605146</v>
      </c>
      <c r="AV63" s="342">
        <f t="shared" si="205" ref="AV63:BE63">INDEX(MO_BSS_ROE,0,COLUMN())</f>
        <v>0.23887704094873791</v>
      </c>
      <c r="AW63" s="342">
        <f t="shared" si="205"/>
        <v>0.1504909379544293</v>
      </c>
      <c r="AX63" s="342">
        <f t="shared" si="205"/>
        <v>0.16367535072318823</v>
      </c>
      <c r="AY63" s="342">
        <f t="shared" si="205"/>
        <v>0.27429859719438876</v>
      </c>
      <c r="AZ63" s="1300">
        <f t="shared" si="205"/>
        <v>0.205041556306512</v>
      </c>
      <c r="BA63" s="342">
        <f t="shared" si="205"/>
        <v>0.21513268554429568</v>
      </c>
      <c r="BB63" s="342">
        <f t="shared" si="205"/>
        <v>0.2022177469618861</v>
      </c>
      <c r="BC63" s="342">
        <f>INDEX(MO_BSS_ROE,0,COLUMN())</f>
        <v>0.1761294860470442</v>
      </c>
      <c r="BD63" s="342">
        <f t="shared" si="205"/>
        <v>0.25328897027393571</v>
      </c>
      <c r="BE63" s="1300">
        <f t="shared" si="205"/>
        <v>0.21063040791100124</v>
      </c>
      <c r="BF63" s="342">
        <f t="shared" si="206" ref="BF63:BJ63">INDEX(MO_BSS_ROE,0,COLUMN())</f>
        <v>0.22907005914772449</v>
      </c>
      <c r="BG63" s="342">
        <f t="shared" si="206"/>
        <v>0.19494281228975108</v>
      </c>
      <c r="BH63" s="917">
        <f>INDEX(MO_BSS_ROE,0,COLUMN())</f>
        <v>0.15839534038524072</v>
      </c>
      <c r="BI63" s="88">
        <f t="shared" ca="1" si="206"/>
        <v>0.26909996567594929</v>
      </c>
      <c r="BJ63" s="1301">
        <f t="shared" ca="1" si="206"/>
        <v>0.21330013125285902</v>
      </c>
      <c r="BK63" s="88">
        <f ca="1" t="shared" si="207" ref="BK63:BR63">INDEX(MO_BSS_ROE,0,COLUMN())</f>
        <v>0.2513306604349928</v>
      </c>
      <c r="BL63" s="88">
        <f t="shared" ca="1" si="207"/>
        <v>0.21078272653568633</v>
      </c>
      <c r="BM63" s="88">
        <f t="shared" ca="1" si="207"/>
        <v>0.21573451910544378</v>
      </c>
      <c r="BN63" s="88">
        <f t="shared" ca="1" si="207"/>
        <v>0.24831508687475273</v>
      </c>
      <c r="BO63" s="1301">
        <f t="shared" ca="1" si="207"/>
        <v>0.23142007488815314</v>
      </c>
      <c r="BP63" s="1300">
        <f t="shared" ca="1" si="207"/>
        <v>0.20977404755646992</v>
      </c>
      <c r="BQ63" s="1300">
        <f t="shared" ca="1" si="207"/>
        <v>0.21834325982878153</v>
      </c>
      <c r="BR63" s="1301">
        <f t="shared" ca="1" si="207"/>
        <v>0.19253459738878356</v>
      </c>
      <c r="BS63" s="247"/>
    </row>
    <row r="64" spans="1:71" s="711" customFormat="1" ht="15" customHeight="1">
      <c r="A64" s="224" t="s">
        <v>247</v>
      </c>
      <c r="B64" s="225"/>
      <c r="C64" s="1300">
        <f t="shared" si="208" ref="C64:AU64">INDEX(MO_BSS_ROTE,0,COLUMN())</f>
        <v>0</v>
      </c>
      <c r="D64" s="1300">
        <f t="shared" si="208"/>
        <v>0</v>
      </c>
      <c r="E64" s="1300">
        <f t="shared" si="208"/>
        <v>0.096501128668171551</v>
      </c>
      <c r="F64" s="1300">
        <f t="shared" si="208"/>
        <v>0.13732939355564935</v>
      </c>
      <c r="G64" s="1300">
        <f t="shared" si="208"/>
        <v>0.1261888814467515</v>
      </c>
      <c r="H64" s="342">
        <f t="shared" si="208"/>
        <v>0.10600741586657079</v>
      </c>
      <c r="I64" s="342">
        <f t="shared" si="208"/>
        <v>0.10614525906000129</v>
      </c>
      <c r="J64" s="342">
        <f t="shared" si="208"/>
        <v>0.11408462848397317</v>
      </c>
      <c r="K64" s="342">
        <f t="shared" si="208"/>
        <v>0.12510457992605187</v>
      </c>
      <c r="L64" s="1300">
        <f t="shared" si="208"/>
        <v>0.11318108974358974</v>
      </c>
      <c r="M64" s="342">
        <f t="shared" si="208"/>
        <v>0.019191919191919191</v>
      </c>
      <c r="N64" s="342">
        <f t="shared" si="208"/>
        <v>0.13960736868660836</v>
      </c>
      <c r="O64" s="342">
        <f t="shared" si="208"/>
        <v>0.061578135544201294</v>
      </c>
      <c r="P64" s="342">
        <f t="shared" si="208"/>
        <v>0.12647806209338183</v>
      </c>
      <c r="Q64" s="1300">
        <f t="shared" si="208"/>
        <v>0.087068368457504694</v>
      </c>
      <c r="R64" s="342">
        <f t="shared" si="208"/>
        <v>0.099747030133770467</v>
      </c>
      <c r="S64" s="342">
        <f t="shared" si="208"/>
        <v>0.053037072817292599</v>
      </c>
      <c r="T64" s="342">
        <f t="shared" si="208"/>
        <v>0.10380142065412536</v>
      </c>
      <c r="U64" s="342">
        <f t="shared" si="208"/>
        <v>0.35503718933301082</v>
      </c>
      <c r="V64" s="1300">
        <f t="shared" si="208"/>
        <v>0.15538211070676114</v>
      </c>
      <c r="W64" s="342">
        <f t="shared" si="208"/>
        <v>0.13838090990187332</v>
      </c>
      <c r="X64" s="342">
        <f t="shared" si="208"/>
        <v>0.12654338698725121</v>
      </c>
      <c r="Y64" s="342">
        <f t="shared" si="208"/>
        <v>0.0092264914054600612</v>
      </c>
      <c r="Z64" s="342">
        <f t="shared" si="208"/>
        <v>0.14085915014901917</v>
      </c>
      <c r="AA64" s="1300">
        <f t="shared" si="208"/>
        <v>0.10358965411959699</v>
      </c>
      <c r="AB64" s="342">
        <f t="shared" si="208"/>
        <v>0.12883241440586166</v>
      </c>
      <c r="AC64" s="342">
        <f t="shared" si="208"/>
        <v>0.1808109246125775</v>
      </c>
      <c r="AD64" s="342">
        <f t="shared" si="208"/>
        <v>0.16931962888848462</v>
      </c>
      <c r="AE64" s="342">
        <f t="shared" si="208"/>
        <v>-0.024196497965528276</v>
      </c>
      <c r="AF64" s="1300">
        <f t="shared" si="208"/>
        <v>0.11360713367058219</v>
      </c>
      <c r="AG64" s="342">
        <f t="shared" si="208"/>
        <v>0.27855485966133142</v>
      </c>
      <c r="AH64" s="342">
        <f t="shared" si="208"/>
        <v>0.16934211747239492</v>
      </c>
      <c r="AI64" s="342">
        <f t="shared" si="208"/>
        <v>0.11518991146338742</v>
      </c>
      <c r="AJ64" s="342">
        <f t="shared" si="208"/>
        <v>0.16316529874620239</v>
      </c>
      <c r="AK64" s="1300">
        <f t="shared" si="208"/>
        <v>0.18051195363438782</v>
      </c>
      <c r="AL64" s="342">
        <f t="shared" si="209" ref="AL64:AQ64">INDEX(MO_BSS_ROTE,0,COLUMN())</f>
        <v>-0.24506384303955153</v>
      </c>
      <c r="AM64" s="342">
        <f t="shared" si="209"/>
        <v>0.14916503088320793</v>
      </c>
      <c r="AN64" s="342">
        <f t="shared" si="209"/>
        <v>0.13520563311754133</v>
      </c>
      <c r="AO64" s="342">
        <f t="shared" si="209"/>
        <v>0.54524787517114881</v>
      </c>
      <c r="AP64" s="1300">
        <f t="shared" si="209"/>
        <v>0.1476818787071783</v>
      </c>
      <c r="AQ64" s="342">
        <f t="shared" si="209"/>
        <v>0.31735508035816185</v>
      </c>
      <c r="AR64" s="342">
        <f t="shared" si="208"/>
        <v>0.75495651150765264</v>
      </c>
      <c r="AS64" s="342">
        <f t="shared" si="208"/>
        <v>0.17295883261713424</v>
      </c>
      <c r="AT64" s="342">
        <f t="shared" si="208"/>
        <v>0.30027159429559286</v>
      </c>
      <c r="AU64" s="1300">
        <f t="shared" si="208"/>
        <v>0.39458069620253167</v>
      </c>
      <c r="AV64" s="342">
        <f t="shared" si="210" ref="AV64:BE64">INDEX(MO_BSS_ROTE,0,COLUMN())</f>
        <v>0.25786255450802698</v>
      </c>
      <c r="AW64" s="342">
        <f t="shared" si="210"/>
        <v>0.15483938160775887</v>
      </c>
      <c r="AX64" s="342">
        <f t="shared" si="210"/>
        <v>0.15942999639975436</v>
      </c>
      <c r="AY64" s="342">
        <f t="shared" si="210"/>
        <v>0.26127415891195421</v>
      </c>
      <c r="AZ64" s="1300">
        <f t="shared" si="210"/>
        <v>0.20827535021801649</v>
      </c>
      <c r="BA64" s="342">
        <f t="shared" si="210"/>
        <v>0.20848151740489276</v>
      </c>
      <c r="BB64" s="342">
        <f t="shared" si="210"/>
        <v>0.19647264320298852</v>
      </c>
      <c r="BC64" s="342">
        <f>INDEX(MO_BSS_ROTE,0,COLUMN())</f>
        <v>0.1721991811842975</v>
      </c>
      <c r="BD64" s="342">
        <f t="shared" si="210"/>
        <v>0.25897838496983822</v>
      </c>
      <c r="BE64" s="1300">
        <f t="shared" si="210"/>
        <v>0.20833333333333334</v>
      </c>
      <c r="BF64" s="342">
        <f t="shared" si="211" ref="BF64:BJ64">INDEX(MO_BSS_ROTE,0,COLUMN())</f>
        <v>0.24184834919087622</v>
      </c>
      <c r="BG64" s="342">
        <f t="shared" si="211"/>
        <v>0.2057756197291081</v>
      </c>
      <c r="BH64" s="917">
        <f>INDEX(MO_BSS_ROTE,0,COLUMN())</f>
        <v>0.17004728241617767</v>
      </c>
      <c r="BI64" s="88">
        <f t="shared" ca="1" si="211"/>
        <v>0.29461822104867103</v>
      </c>
      <c r="BJ64" s="1301">
        <f t="shared" ca="1" si="211"/>
        <v>0.22848392298272424</v>
      </c>
      <c r="BK64" s="88">
        <f ca="1" t="shared" si="212" ref="BK64:BR64">INDEX(MO_BSS_ROTE,0,COLUMN())</f>
        <v>0.27478160274087154</v>
      </c>
      <c r="BL64" s="88">
        <f t="shared" ca="1" si="212"/>
        <v>0.22954284508299558</v>
      </c>
      <c r="BM64" s="88">
        <f t="shared" ca="1" si="212"/>
        <v>0.23411476181176072</v>
      </c>
      <c r="BN64" s="88">
        <f t="shared" ca="1" si="212"/>
        <v>0.26844645999685923</v>
      </c>
      <c r="BO64" s="1301">
        <f t="shared" ca="1" si="212"/>
        <v>0.25151624879252837</v>
      </c>
      <c r="BP64" s="1300">
        <f t="shared" ca="1" si="212"/>
        <v>0.22486644607740455</v>
      </c>
      <c r="BQ64" s="1300">
        <f t="shared" ca="1" si="212"/>
        <v>0.23139169104000223</v>
      </c>
      <c r="BR64" s="1301">
        <f t="shared" ca="1" si="212"/>
        <v>0.20214742401686839</v>
      </c>
      <c r="BS64" s="247"/>
    </row>
    <row r="65" spans="1:71" ht="15" customHeight="1">
      <c r="A65" s="218"/>
      <c r="B65" s="226"/>
      <c r="C65" s="1302"/>
      <c r="D65" s="1302"/>
      <c r="E65" s="1302"/>
      <c r="F65" s="1302"/>
      <c r="G65" s="1302"/>
      <c r="H65" s="1021"/>
      <c r="I65" s="1021"/>
      <c r="J65" s="1021"/>
      <c r="K65" s="1021"/>
      <c r="L65" s="1302"/>
      <c r="M65" s="1021"/>
      <c r="N65" s="1021"/>
      <c r="O65" s="1021"/>
      <c r="P65" s="1021"/>
      <c r="Q65" s="1302"/>
      <c r="R65" s="1021"/>
      <c r="S65" s="1021"/>
      <c r="T65" s="1021"/>
      <c r="U65" s="1021"/>
      <c r="V65" s="1302"/>
      <c r="W65" s="1021"/>
      <c r="X65" s="1021"/>
      <c r="Y65" s="1021"/>
      <c r="Z65" s="1021"/>
      <c r="AA65" s="1302"/>
      <c r="AB65" s="1021"/>
      <c r="AC65" s="1021"/>
      <c r="AD65" s="1021"/>
      <c r="AE65" s="1021"/>
      <c r="AF65" s="1302"/>
      <c r="AG65" s="1021"/>
      <c r="AH65" s="1021"/>
      <c r="AI65" s="1021"/>
      <c r="AJ65" s="1021"/>
      <c r="AK65" s="1302"/>
      <c r="AL65" s="1021"/>
      <c r="AM65" s="1021"/>
      <c r="AN65" s="1021"/>
      <c r="AO65" s="1021"/>
      <c r="AP65" s="1302"/>
      <c r="AQ65" s="1021"/>
      <c r="AR65" s="1021"/>
      <c r="AS65" s="1021"/>
      <c r="AT65" s="1021"/>
      <c r="AU65" s="1302"/>
      <c r="AV65" s="1021"/>
      <c r="AW65" s="1021"/>
      <c r="AX65" s="1021"/>
      <c r="AY65" s="1021"/>
      <c r="AZ65" s="1302"/>
      <c r="BA65" s="1021"/>
      <c r="BB65" s="1021"/>
      <c r="BC65" s="1021"/>
      <c r="BD65" s="1021"/>
      <c r="BE65" s="1302"/>
      <c r="BF65" s="1021"/>
      <c r="BG65" s="1021"/>
      <c r="BH65" s="1022"/>
      <c r="BI65" s="1023"/>
      <c r="BJ65" s="1303"/>
      <c r="BK65" s="1023"/>
      <c r="BL65" s="1023"/>
      <c r="BM65" s="1023"/>
      <c r="BN65" s="1023"/>
      <c r="BO65" s="1303"/>
      <c r="BP65" s="1302"/>
      <c r="BQ65" s="1302"/>
      <c r="BR65" s="1303"/>
      <c r="BS65" s="960"/>
    </row>
    <row r="66" spans="1:71" s="708" customFormat="1" ht="15">
      <c r="A66" s="151" t="s">
        <v>233</v>
      </c>
      <c r="B66" s="152"/>
      <c r="C66" s="303"/>
      <c r="D66" s="303"/>
      <c r="E66" s="303"/>
      <c r="F66" s="303"/>
      <c r="G66" s="303"/>
      <c r="H66" s="303"/>
      <c r="I66" s="303"/>
      <c r="J66" s="303"/>
      <c r="K66" s="303"/>
      <c r="L66" s="303"/>
      <c r="M66" s="303"/>
      <c r="N66" s="303"/>
      <c r="O66" s="303"/>
      <c r="P66" s="303"/>
      <c r="Q66" s="303"/>
      <c r="R66" s="303"/>
      <c r="S66" s="303"/>
      <c r="T66" s="303"/>
      <c r="U66" s="303"/>
      <c r="V66" s="303"/>
      <c r="W66" s="303"/>
      <c r="X66" s="303"/>
      <c r="Y66" s="303"/>
      <c r="Z66" s="303"/>
      <c r="AA66" s="303"/>
      <c r="AB66" s="303"/>
      <c r="AC66" s="303"/>
      <c r="AD66" s="303"/>
      <c r="AE66" s="303"/>
      <c r="AF66" s="303"/>
      <c r="AG66" s="303"/>
      <c r="AH66" s="303"/>
      <c r="AI66" s="303"/>
      <c r="AJ66" s="303"/>
      <c r="AK66" s="303"/>
      <c r="AL66" s="303"/>
      <c r="AM66" s="303"/>
      <c r="AN66" s="303"/>
      <c r="AO66" s="303"/>
      <c r="AP66" s="303"/>
      <c r="AQ66" s="303"/>
      <c r="AR66" s="303"/>
      <c r="AS66" s="303"/>
      <c r="AT66" s="303"/>
      <c r="AU66" s="303"/>
      <c r="AV66" s="303"/>
      <c r="AW66" s="303"/>
      <c r="AX66" s="303"/>
      <c r="AY66" s="303"/>
      <c r="AZ66" s="303"/>
      <c r="BA66" s="303"/>
      <c r="BB66" s="303"/>
      <c r="BC66" s="303"/>
      <c r="BD66" s="303"/>
      <c r="BE66" s="303"/>
      <c r="BF66" s="303"/>
      <c r="BG66" s="303"/>
      <c r="BH66" s="404"/>
      <c r="BI66" s="152"/>
      <c r="BJ66" s="152"/>
      <c r="BK66" s="152"/>
      <c r="BL66" s="152"/>
      <c r="BM66" s="152"/>
      <c r="BN66" s="152"/>
      <c r="BO66" s="152"/>
      <c r="BP66" s="303"/>
      <c r="BQ66" s="303"/>
      <c r="BR66" s="152"/>
      <c r="BS66" s="146"/>
    </row>
    <row r="67" spans="1:71" s="708" customFormat="1" ht="15">
      <c r="A67" s="205" t="str">
        <f>INDEX(MO_BSS_NUPR,0,COLUMN())</f>
        <v>Net Unearned Premium Reserves</v>
      </c>
      <c r="B67" s="227"/>
      <c r="C67" s="1304">
        <f t="shared" si="213" ref="C67:AU67">INDEX(MO_BSS_NUPR,0,COLUMN())</f>
        <v>1187</v>
      </c>
      <c r="D67" s="1304">
        <f t="shared" si="213"/>
        <v>1112</v>
      </c>
      <c r="E67" s="1304">
        <f t="shared" si="213"/>
        <v>1075</v>
      </c>
      <c r="F67" s="1304">
        <f t="shared" si="213"/>
        <v>1180</v>
      </c>
      <c r="G67" s="1304">
        <f t="shared" si="213"/>
        <v>1349</v>
      </c>
      <c r="H67" s="343">
        <f t="shared" si="213"/>
        <v>1350</v>
      </c>
      <c r="I67" s="343">
        <f t="shared" si="213"/>
        <v>1422</v>
      </c>
      <c r="J67" s="343">
        <f t="shared" si="213"/>
        <v>1527</v>
      </c>
      <c r="K67" s="343">
        <f t="shared" si="213"/>
        <v>1487</v>
      </c>
      <c r="L67" s="1304">
        <f t="shared" si="213"/>
        <v>1487</v>
      </c>
      <c r="M67" s="343">
        <f t="shared" si="213"/>
        <v>1461</v>
      </c>
      <c r="N67" s="343">
        <f t="shared" si="213"/>
        <v>1505</v>
      </c>
      <c r="O67" s="343">
        <f t="shared" si="213"/>
        <v>1634</v>
      </c>
      <c r="P67" s="343">
        <f t="shared" si="213"/>
        <v>1580</v>
      </c>
      <c r="Q67" s="1304">
        <f t="shared" si="213"/>
        <v>1580</v>
      </c>
      <c r="R67" s="343">
        <f t="shared" si="213"/>
        <v>1576</v>
      </c>
      <c r="S67" s="343">
        <f t="shared" si="213"/>
        <v>1588</v>
      </c>
      <c r="T67" s="343">
        <f t="shared" si="213"/>
        <v>1694</v>
      </c>
      <c r="U67" s="343">
        <f t="shared" si="213"/>
        <v>1632</v>
      </c>
      <c r="V67" s="1304">
        <f t="shared" si="213"/>
        <v>1632</v>
      </c>
      <c r="W67" s="343">
        <f t="shared" si="213"/>
        <v>1641</v>
      </c>
      <c r="X67" s="343">
        <f t="shared" si="213"/>
        <v>1707</v>
      </c>
      <c r="Y67" s="343">
        <f t="shared" si="213"/>
        <v>1876</v>
      </c>
      <c r="Z67" s="343">
        <f t="shared" si="213"/>
        <v>1810</v>
      </c>
      <c r="AA67" s="1304">
        <f t="shared" si="213"/>
        <v>1810</v>
      </c>
      <c r="AB67" s="343">
        <f t="shared" si="213"/>
        <v>1799</v>
      </c>
      <c r="AC67" s="343">
        <f t="shared" si="213"/>
        <v>1894</v>
      </c>
      <c r="AD67" s="343">
        <f t="shared" si="213"/>
        <v>2023</v>
      </c>
      <c r="AE67" s="343">
        <f t="shared" si="213"/>
        <v>1985</v>
      </c>
      <c r="AF67" s="1304">
        <f t="shared" si="213"/>
        <v>1985</v>
      </c>
      <c r="AG67" s="343">
        <f t="shared" si="213"/>
        <v>1969</v>
      </c>
      <c r="AH67" s="343">
        <f t="shared" si="213"/>
        <v>2032</v>
      </c>
      <c r="AI67" s="343">
        <f t="shared" si="213"/>
        <v>2205</v>
      </c>
      <c r="AJ67" s="343">
        <f t="shared" si="213"/>
        <v>2152</v>
      </c>
      <c r="AK67" s="1304">
        <f t="shared" si="213"/>
        <v>2152</v>
      </c>
      <c r="AL67" s="343">
        <f t="shared" si="214" ref="AL67:AQ67">INDEX(MO_BSS_NUPR,0,COLUMN())</f>
        <v>2100</v>
      </c>
      <c r="AM67" s="343">
        <f t="shared" si="214"/>
        <v>2045</v>
      </c>
      <c r="AN67" s="343">
        <f t="shared" si="214"/>
        <v>2153</v>
      </c>
      <c r="AO67" s="343">
        <f t="shared" si="214"/>
        <v>2035</v>
      </c>
      <c r="AP67" s="1304">
        <f t="shared" si="214"/>
        <v>2035</v>
      </c>
      <c r="AQ67" s="343">
        <f t="shared" si="214"/>
        <v>2066</v>
      </c>
      <c r="AR67" s="343">
        <f t="shared" si="213"/>
        <v>2189</v>
      </c>
      <c r="AS67" s="343">
        <f t="shared" si="213"/>
        <v>2387</v>
      </c>
      <c r="AT67" s="343">
        <f t="shared" si="213"/>
        <v>2207</v>
      </c>
      <c r="AU67" s="1304">
        <f t="shared" si="213"/>
        <v>2207</v>
      </c>
      <c r="AV67" s="343">
        <f t="shared" si="215" ref="AV67:BE67">INDEX(MO_BSS_NUPR,0,COLUMN())</f>
        <v>2273</v>
      </c>
      <c r="AW67" s="343">
        <f t="shared" si="215"/>
        <v>2391</v>
      </c>
      <c r="AX67" s="343">
        <f t="shared" si="215"/>
        <v>2605</v>
      </c>
      <c r="AY67" s="343">
        <f t="shared" si="215"/>
        <v>2329</v>
      </c>
      <c r="AZ67" s="1304">
        <f t="shared" si="215"/>
        <v>2329</v>
      </c>
      <c r="BA67" s="343">
        <f t="shared" si="215"/>
        <v>2414</v>
      </c>
      <c r="BB67" s="343">
        <f t="shared" si="215"/>
        <v>2574</v>
      </c>
      <c r="BC67" s="343">
        <f>INDEX(MO_BSS_NUPR,0,COLUMN())</f>
        <v>2774</v>
      </c>
      <c r="BD67" s="343">
        <f t="shared" si="215"/>
        <v>2490</v>
      </c>
      <c r="BE67" s="1304">
        <f t="shared" si="215"/>
        <v>2490</v>
      </c>
      <c r="BF67" s="343">
        <f t="shared" si="216" ref="BF67:BJ67">INDEX(MO_BSS_NUPR,0,COLUMN())</f>
        <v>2572</v>
      </c>
      <c r="BG67" s="343">
        <f t="shared" si="216"/>
        <v>2673</v>
      </c>
      <c r="BH67" s="918">
        <f>INDEX(MO_BSS_NUPR,0,COLUMN())</f>
        <v>2974</v>
      </c>
      <c r="BI67" s="154">
        <f t="shared" si="216"/>
        <v>3144.4484000000002</v>
      </c>
      <c r="BJ67" s="1305">
        <f t="shared" si="216"/>
        <v>3144.4484000000002</v>
      </c>
      <c r="BK67" s="154">
        <f t="shared" si="217" ref="BK67:BR67">INDEX(MO_BSS_NUPR,0,COLUMN())</f>
        <v>3387.3861849999998</v>
      </c>
      <c r="BL67" s="154">
        <f t="shared" si="217"/>
        <v>3647.8207349999998</v>
      </c>
      <c r="BM67" s="154">
        <f t="shared" si="217"/>
        <v>3935.3967550000002</v>
      </c>
      <c r="BN67" s="154">
        <f t="shared" si="217"/>
        <v>4171.9416099999999</v>
      </c>
      <c r="BO67" s="1305">
        <f t="shared" si="217"/>
        <v>4171.9416099999999</v>
      </c>
      <c r="BP67" s="1304">
        <f t="shared" si="217"/>
        <v>5305.3886119999997</v>
      </c>
      <c r="BQ67" s="1304">
        <f t="shared" si="217"/>
        <v>6837.9662630000003</v>
      </c>
      <c r="BR67" s="1305">
        <f t="shared" si="217"/>
        <v>8432.5592930000003</v>
      </c>
      <c r="BS67" s="146"/>
    </row>
    <row r="68" spans="1:71" s="708" customFormat="1" ht="15">
      <c r="A68" s="207" t="str">
        <f>INDEX(MO_BSS_NLR,0,COLUMN())</f>
        <v>Net Loss Reserves</v>
      </c>
      <c r="B68" s="228"/>
      <c r="C68" s="1306">
        <f t="shared" si="218" ref="C68:AU68">INDEX(MO_BSS_NLR,0,COLUMN())</f>
        <v>3133</v>
      </c>
      <c r="D68" s="1306">
        <f t="shared" si="218"/>
        <v>3449</v>
      </c>
      <c r="E68" s="1306">
        <f t="shared" si="218"/>
        <v>3578</v>
      </c>
      <c r="F68" s="1306">
        <f t="shared" si="218"/>
        <v>3095</v>
      </c>
      <c r="G68" s="1306">
        <f t="shared" si="218"/>
        <v>3253</v>
      </c>
      <c r="H68" s="156">
        <f t="shared" si="218"/>
        <v>3165</v>
      </c>
      <c r="I68" s="156">
        <f t="shared" si="218"/>
        <v>4263</v>
      </c>
      <c r="J68" s="156">
        <f t="shared" si="218"/>
        <v>4511</v>
      </c>
      <c r="K68" s="156">
        <f t="shared" si="218"/>
        <v>4634</v>
      </c>
      <c r="L68" s="1306">
        <f t="shared" si="218"/>
        <v>4634</v>
      </c>
      <c r="M68" s="156">
        <f t="shared" si="218"/>
        <v>4590</v>
      </c>
      <c r="N68" s="156">
        <f t="shared" si="218"/>
        <v>4669</v>
      </c>
      <c r="O68" s="156">
        <f t="shared" si="218"/>
        <v>4910</v>
      </c>
      <c r="P68" s="156">
        <f t="shared" si="218"/>
        <v>5491</v>
      </c>
      <c r="Q68" s="1306">
        <f t="shared" si="218"/>
        <v>5491</v>
      </c>
      <c r="R68" s="156">
        <f t="shared" si="218"/>
        <v>5547</v>
      </c>
      <c r="S68" s="156">
        <f t="shared" si="218"/>
        <v>5627</v>
      </c>
      <c r="T68" s="156">
        <f t="shared" si="218"/>
        <v>5847</v>
      </c>
      <c r="U68" s="156">
        <f t="shared" si="218"/>
        <v>5826</v>
      </c>
      <c r="V68" s="1306">
        <f t="shared" si="218"/>
        <v>5826</v>
      </c>
      <c r="W68" s="156">
        <f t="shared" si="218"/>
        <v>5886</v>
      </c>
      <c r="X68" s="156">
        <f t="shared" si="218"/>
        <v>5891</v>
      </c>
      <c r="Y68" s="156">
        <f t="shared" si="218"/>
        <v>6301</v>
      </c>
      <c r="Z68" s="156">
        <f t="shared" si="218"/>
        <v>6309</v>
      </c>
      <c r="AA68" s="1306">
        <f t="shared" si="218"/>
        <v>6309</v>
      </c>
      <c r="AB68" s="156">
        <f t="shared" si="218"/>
        <v>6020</v>
      </c>
      <c r="AC68" s="156">
        <f t="shared" si="218"/>
        <v>6020</v>
      </c>
      <c r="AD68" s="156">
        <f t="shared" si="218"/>
        <v>6318</v>
      </c>
      <c r="AE68" s="156">
        <f t="shared" si="218"/>
        <v>6392</v>
      </c>
      <c r="AF68" s="1306">
        <f t="shared" si="218"/>
        <v>6392</v>
      </c>
      <c r="AG68" s="156">
        <f t="shared" si="218"/>
        <v>6365</v>
      </c>
      <c r="AH68" s="156">
        <f t="shared" si="218"/>
        <v>6427</v>
      </c>
      <c r="AI68" s="156">
        <f t="shared" si="218"/>
        <v>6586</v>
      </c>
      <c r="AJ68" s="156">
        <f t="shared" si="218"/>
        <v>6817</v>
      </c>
      <c r="AK68" s="1306">
        <f t="shared" si="218"/>
        <v>6817</v>
      </c>
      <c r="AL68" s="156">
        <f t="shared" si="219" ref="AL68:AQ68">INDEX(MO_BSS_NLR,0,COLUMN())</f>
        <v>6719</v>
      </c>
      <c r="AM68" s="156">
        <f t="shared" si="219"/>
        <v>6845</v>
      </c>
      <c r="AN68" s="156">
        <f t="shared" si="219"/>
        <v>6935</v>
      </c>
      <c r="AO68" s="156">
        <f t="shared" si="219"/>
        <v>300</v>
      </c>
      <c r="AP68" s="1306">
        <f t="shared" si="219"/>
        <v>300</v>
      </c>
      <c r="AQ68" s="156">
        <f t="shared" si="219"/>
        <v>7153</v>
      </c>
      <c r="AR68" s="156">
        <f t="shared" si="218"/>
        <v>7168</v>
      </c>
      <c r="AS68" s="156">
        <f t="shared" si="218"/>
        <v>7468</v>
      </c>
      <c r="AT68" s="156">
        <f t="shared" si="218"/>
        <v>7555</v>
      </c>
      <c r="AU68" s="1306">
        <f t="shared" si="218"/>
        <v>7555</v>
      </c>
      <c r="AV68" s="156">
        <f t="shared" si="220" ref="AV68:BE68">INDEX(MO_BSS_NLR,0,COLUMN())</f>
        <v>7508</v>
      </c>
      <c r="AW68" s="156">
        <f t="shared" si="220"/>
        <v>7634</v>
      </c>
      <c r="AX68" s="156">
        <f t="shared" si="220"/>
        <v>7959</v>
      </c>
      <c r="AY68" s="156">
        <f t="shared" si="220"/>
        <v>7997</v>
      </c>
      <c r="AZ68" s="1306">
        <f t="shared" si="220"/>
        <v>7997</v>
      </c>
      <c r="BA68" s="156">
        <f t="shared" si="220"/>
        <v>7923</v>
      </c>
      <c r="BB68" s="156">
        <f t="shared" si="220"/>
        <v>8073</v>
      </c>
      <c r="BC68" s="156">
        <f>INDEX(MO_BSS_NLR,0,COLUMN())</f>
        <v>8470</v>
      </c>
      <c r="BD68" s="156">
        <f t="shared" si="220"/>
        <v>8610</v>
      </c>
      <c r="BE68" s="1306">
        <f t="shared" si="220"/>
        <v>8610</v>
      </c>
      <c r="BF68" s="156">
        <f t="shared" si="221" ref="BF68:BJ68">INDEX(MO_BSS_NLR,0,COLUMN())</f>
        <v>8540</v>
      </c>
      <c r="BG68" s="156">
        <f t="shared" si="221"/>
        <v>8450</v>
      </c>
      <c r="BH68" s="919">
        <f>INDEX(MO_BSS_NLR,0,COLUMN())</f>
        <v>8989</v>
      </c>
      <c r="BI68" s="156">
        <f t="shared" si="221"/>
        <v>9075.2101180000009</v>
      </c>
      <c r="BJ68" s="1306">
        <f t="shared" si="221"/>
        <v>9075.2101180000009</v>
      </c>
      <c r="BK68" s="156">
        <f t="shared" si="222" ref="BK68:BR68">INDEX(MO_BSS_NLR,0,COLUMN())</f>
        <v>9160.1398430000008</v>
      </c>
      <c r="BL68" s="156">
        <f t="shared" si="222"/>
        <v>9251.0885310000012</v>
      </c>
      <c r="BM68" s="156">
        <f t="shared" si="222"/>
        <v>9350.9020670000009</v>
      </c>
      <c r="BN68" s="156">
        <f t="shared" si="222"/>
        <v>9434.4948970000005</v>
      </c>
      <c r="BO68" s="1306">
        <f t="shared" si="222"/>
        <v>9434.4948970000005</v>
      </c>
      <c r="BP68" s="1306">
        <f t="shared" si="222"/>
        <v>9857.5007160000005</v>
      </c>
      <c r="BQ68" s="1306">
        <f t="shared" si="222"/>
        <v>10408.984911</v>
      </c>
      <c r="BR68" s="1306">
        <f t="shared" si="222"/>
        <v>10989.100946999999</v>
      </c>
      <c r="BS68" s="146"/>
    </row>
    <row r="69" spans="1:71" s="707" customFormat="1" ht="15">
      <c r="A69" s="216" t="str">
        <f>INDEX(MO_BSS_NTR,0,COLUMN())</f>
        <v>Net Technical Reserves</v>
      </c>
      <c r="B69" s="399"/>
      <c r="C69" s="1307">
        <f t="shared" si="223" ref="C69:AU69">INDEX(MO_BSS_NTR,0,COLUMN())</f>
        <v>4320</v>
      </c>
      <c r="D69" s="1307">
        <f t="shared" si="223"/>
        <v>4561</v>
      </c>
      <c r="E69" s="1307">
        <f t="shared" si="223"/>
        <v>4653</v>
      </c>
      <c r="F69" s="1307">
        <f t="shared" si="223"/>
        <v>4275</v>
      </c>
      <c r="G69" s="1307">
        <f t="shared" si="223"/>
        <v>4602</v>
      </c>
      <c r="H69" s="401">
        <f t="shared" si="223"/>
        <v>4515</v>
      </c>
      <c r="I69" s="401">
        <f t="shared" si="223"/>
        <v>5685</v>
      </c>
      <c r="J69" s="401">
        <f t="shared" si="223"/>
        <v>6038</v>
      </c>
      <c r="K69" s="401">
        <f t="shared" si="223"/>
        <v>6121</v>
      </c>
      <c r="L69" s="1307">
        <f t="shared" si="223"/>
        <v>6121</v>
      </c>
      <c r="M69" s="401">
        <f t="shared" si="223"/>
        <v>6051</v>
      </c>
      <c r="N69" s="401">
        <f t="shared" si="223"/>
        <v>6174</v>
      </c>
      <c r="O69" s="401">
        <f t="shared" si="223"/>
        <v>6544</v>
      </c>
      <c r="P69" s="401">
        <f t="shared" si="223"/>
        <v>7071</v>
      </c>
      <c r="Q69" s="1307">
        <f t="shared" si="223"/>
        <v>7071</v>
      </c>
      <c r="R69" s="401">
        <f t="shared" si="223"/>
        <v>7123</v>
      </c>
      <c r="S69" s="401">
        <f t="shared" si="223"/>
        <v>7215</v>
      </c>
      <c r="T69" s="401">
        <f t="shared" si="223"/>
        <v>7541</v>
      </c>
      <c r="U69" s="401">
        <f t="shared" si="223"/>
        <v>7458</v>
      </c>
      <c r="V69" s="1307">
        <f t="shared" si="223"/>
        <v>7458</v>
      </c>
      <c r="W69" s="401">
        <f t="shared" si="223"/>
        <v>7527</v>
      </c>
      <c r="X69" s="401">
        <f t="shared" si="223"/>
        <v>7598</v>
      </c>
      <c r="Y69" s="401">
        <f t="shared" si="223"/>
        <v>8177</v>
      </c>
      <c r="Z69" s="401">
        <f t="shared" si="223"/>
        <v>8119</v>
      </c>
      <c r="AA69" s="1307">
        <f t="shared" si="223"/>
        <v>8119</v>
      </c>
      <c r="AB69" s="401">
        <f t="shared" si="223"/>
        <v>7819</v>
      </c>
      <c r="AC69" s="401">
        <f t="shared" si="223"/>
        <v>7914</v>
      </c>
      <c r="AD69" s="401">
        <f t="shared" si="223"/>
        <v>8341</v>
      </c>
      <c r="AE69" s="401">
        <f t="shared" si="223"/>
        <v>8377</v>
      </c>
      <c r="AF69" s="1307">
        <f t="shared" si="223"/>
        <v>8377</v>
      </c>
      <c r="AG69" s="401">
        <f t="shared" si="223"/>
        <v>8334</v>
      </c>
      <c r="AH69" s="401">
        <f t="shared" si="223"/>
        <v>8459</v>
      </c>
      <c r="AI69" s="401">
        <f t="shared" si="223"/>
        <v>8791</v>
      </c>
      <c r="AJ69" s="401">
        <f t="shared" si="223"/>
        <v>8969</v>
      </c>
      <c r="AK69" s="1307">
        <f t="shared" si="223"/>
        <v>8969</v>
      </c>
      <c r="AL69" s="401">
        <f t="shared" si="224" ref="AL69:AQ69">INDEX(MO_BSS_NTR,0,COLUMN())</f>
        <v>8819</v>
      </c>
      <c r="AM69" s="401">
        <f t="shared" si="224"/>
        <v>8890</v>
      </c>
      <c r="AN69" s="401">
        <f t="shared" si="224"/>
        <v>9088</v>
      </c>
      <c r="AO69" s="401">
        <f t="shared" si="224"/>
        <v>2335</v>
      </c>
      <c r="AP69" s="1307">
        <f t="shared" si="224"/>
        <v>2335</v>
      </c>
      <c r="AQ69" s="401">
        <f t="shared" si="224"/>
        <v>9219</v>
      </c>
      <c r="AR69" s="401">
        <f t="shared" si="223"/>
        <v>9357</v>
      </c>
      <c r="AS69" s="401">
        <f t="shared" si="223"/>
        <v>9855</v>
      </c>
      <c r="AT69" s="401">
        <f t="shared" si="223"/>
        <v>9762</v>
      </c>
      <c r="AU69" s="1307">
        <f t="shared" si="223"/>
        <v>9762</v>
      </c>
      <c r="AV69" s="401">
        <f t="shared" si="225" ref="AV69:BE69">INDEX(MO_BSS_NTR,0,COLUMN())</f>
        <v>9781</v>
      </c>
      <c r="AW69" s="401">
        <f t="shared" si="225"/>
        <v>10025</v>
      </c>
      <c r="AX69" s="401">
        <f t="shared" si="225"/>
        <v>10564</v>
      </c>
      <c r="AY69" s="401">
        <f t="shared" si="225"/>
        <v>10326</v>
      </c>
      <c r="AZ69" s="1307">
        <f t="shared" si="225"/>
        <v>10326</v>
      </c>
      <c r="BA69" s="401">
        <f t="shared" si="225"/>
        <v>10337</v>
      </c>
      <c r="BB69" s="401">
        <f t="shared" si="225"/>
        <v>10647</v>
      </c>
      <c r="BC69" s="401">
        <f>INDEX(MO_BSS_NTR,0,COLUMN())</f>
        <v>11244</v>
      </c>
      <c r="BD69" s="401">
        <f t="shared" si="225"/>
        <v>11100</v>
      </c>
      <c r="BE69" s="1307">
        <f t="shared" si="225"/>
        <v>11100</v>
      </c>
      <c r="BF69" s="401">
        <f t="shared" si="226" ref="BF69:BJ69">INDEX(MO_BSS_NTR,0,COLUMN())</f>
        <v>11112</v>
      </c>
      <c r="BG69" s="401">
        <f t="shared" si="226"/>
        <v>11123</v>
      </c>
      <c r="BH69" s="920">
        <f>INDEX(MO_BSS_NTR,0,COLUMN())</f>
        <v>11963</v>
      </c>
      <c r="BI69" s="401">
        <f t="shared" si="226"/>
        <v>12219.658518</v>
      </c>
      <c r="BJ69" s="1307">
        <f t="shared" si="226"/>
        <v>12219.658518</v>
      </c>
      <c r="BK69" s="401">
        <f t="shared" si="227" ref="BK69:BR69">INDEX(MO_BSS_NTR,0,COLUMN())</f>
        <v>12547.526028</v>
      </c>
      <c r="BL69" s="401">
        <f t="shared" si="227"/>
        <v>12898.909266000001</v>
      </c>
      <c r="BM69" s="401">
        <f t="shared" si="227"/>
        <v>13286.298822000001</v>
      </c>
      <c r="BN69" s="401">
        <f t="shared" si="227"/>
        <v>13606.436507</v>
      </c>
      <c r="BO69" s="1307">
        <f t="shared" si="227"/>
        <v>13606.436507</v>
      </c>
      <c r="BP69" s="1307">
        <f t="shared" si="227"/>
        <v>15162.889327999999</v>
      </c>
      <c r="BQ69" s="1307">
        <f t="shared" si="227"/>
        <v>17246.951174000002</v>
      </c>
      <c r="BR69" s="1307">
        <f t="shared" si="227"/>
        <v>19421.660240000001</v>
      </c>
      <c r="BS69" s="77"/>
    </row>
    <row r="70" spans="1:71" s="699" customFormat="1" ht="15">
      <c r="A70" s="229"/>
      <c r="B70" s="220"/>
      <c r="C70" s="1308"/>
      <c r="D70" s="1308"/>
      <c r="E70" s="1308"/>
      <c r="F70" s="1308"/>
      <c r="G70" s="1308"/>
      <c r="H70" s="344"/>
      <c r="I70" s="344"/>
      <c r="J70" s="344"/>
      <c r="K70" s="344"/>
      <c r="L70" s="1308"/>
      <c r="M70" s="344"/>
      <c r="N70" s="344"/>
      <c r="O70" s="344"/>
      <c r="P70" s="344"/>
      <c r="Q70" s="1308"/>
      <c r="R70" s="344"/>
      <c r="S70" s="344"/>
      <c r="T70" s="344"/>
      <c r="U70" s="344"/>
      <c r="V70" s="1308"/>
      <c r="W70" s="344"/>
      <c r="X70" s="344"/>
      <c r="Y70" s="344"/>
      <c r="Z70" s="344"/>
      <c r="AA70" s="1308"/>
      <c r="AB70" s="344"/>
      <c r="AC70" s="344"/>
      <c r="AD70" s="344"/>
      <c r="AE70" s="344"/>
      <c r="AF70" s="1308"/>
      <c r="AG70" s="344"/>
      <c r="AH70" s="344"/>
      <c r="AI70" s="344"/>
      <c r="AJ70" s="344"/>
      <c r="AK70" s="1308"/>
      <c r="AL70" s="344"/>
      <c r="AM70" s="344"/>
      <c r="AN70" s="344"/>
      <c r="AO70" s="344"/>
      <c r="AP70" s="1308"/>
      <c r="AQ70" s="344"/>
      <c r="AR70" s="344"/>
      <c r="AS70" s="344"/>
      <c r="AT70" s="344"/>
      <c r="AU70" s="1308"/>
      <c r="AV70" s="344"/>
      <c r="AW70" s="344"/>
      <c r="AX70" s="344"/>
      <c r="AY70" s="344"/>
      <c r="AZ70" s="1308"/>
      <c r="BA70" s="344"/>
      <c r="BB70" s="344"/>
      <c r="BC70" s="344"/>
      <c r="BD70" s="344"/>
      <c r="BE70" s="1308"/>
      <c r="BF70" s="344"/>
      <c r="BG70" s="344"/>
      <c r="BH70" s="921"/>
      <c r="BI70" s="90"/>
      <c r="BJ70" s="1309"/>
      <c r="BK70" s="90"/>
      <c r="BL70" s="90"/>
      <c r="BM70" s="90"/>
      <c r="BN70" s="90"/>
      <c r="BO70" s="1309"/>
      <c r="BP70" s="1308"/>
      <c r="BQ70" s="1308"/>
      <c r="BR70" s="1309"/>
      <c r="BS70" s="79"/>
    </row>
    <row r="71" spans="1:71" s="705" customFormat="1" ht="15">
      <c r="A71" s="221" t="str">
        <f>INDEX(MO_BSS_BVPS,0,COLUMN())</f>
        <v>Book Value per Common Share</v>
      </c>
      <c r="B71" s="222"/>
      <c r="C71" s="1275">
        <f t="shared" si="228" ref="C71:AU71">INDEX(MO_BSS_BVPS,0,COLUMN())</f>
        <v>0</v>
      </c>
      <c r="D71" s="1275">
        <f t="shared" si="228"/>
        <v>0</v>
      </c>
      <c r="E71" s="1275">
        <f t="shared" si="228"/>
        <v>43.312783000000003</v>
      </c>
      <c r="F71" s="1275">
        <f t="shared" si="228"/>
        <v>50.607273999999997</v>
      </c>
      <c r="G71" s="1275">
        <f t="shared" si="228"/>
        <v>50.830385999999997</v>
      </c>
      <c r="H71" s="352">
        <f t="shared" si="228"/>
        <v>52.986415999999998</v>
      </c>
      <c r="I71" s="352">
        <f t="shared" si="228"/>
        <v>55.278806000000003</v>
      </c>
      <c r="J71" s="352">
        <f t="shared" si="228"/>
        <v>55.395485000000001</v>
      </c>
      <c r="K71" s="352">
        <f t="shared" si="228"/>
        <v>55.650064999999998</v>
      </c>
      <c r="L71" s="1275">
        <f t="shared" si="228"/>
        <v>55.650064999999998</v>
      </c>
      <c r="M71" s="352">
        <f t="shared" si="228"/>
        <v>56.015929</v>
      </c>
      <c r="N71" s="352">
        <f t="shared" si="228"/>
        <v>54.854664999999997</v>
      </c>
      <c r="O71" s="352">
        <f t="shared" si="228"/>
        <v>54.095419</v>
      </c>
      <c r="P71" s="352">
        <f t="shared" si="228"/>
        <v>52.495327000000003</v>
      </c>
      <c r="Q71" s="1275">
        <f t="shared" si="228"/>
        <v>52.495327000000003</v>
      </c>
      <c r="R71" s="352">
        <f t="shared" si="228"/>
        <v>54.676358</v>
      </c>
      <c r="S71" s="352">
        <f t="shared" si="228"/>
        <v>57.570219999999999</v>
      </c>
      <c r="T71" s="352">
        <f t="shared" si="228"/>
        <v>59.449860999999999</v>
      </c>
      <c r="U71" s="352">
        <f t="shared" si="228"/>
        <v>56.554892000000002</v>
      </c>
      <c r="V71" s="1275">
        <f t="shared" si="228"/>
        <v>56.554892000000002</v>
      </c>
      <c r="W71" s="352">
        <f t="shared" si="228"/>
        <v>59.263626000000002</v>
      </c>
      <c r="X71" s="352">
        <f t="shared" si="228"/>
        <v>60.358662000000002</v>
      </c>
      <c r="Y71" s="352">
        <f t="shared" si="228"/>
        <v>61.060612999999996</v>
      </c>
      <c r="Z71" s="352">
        <f t="shared" si="228"/>
        <v>60.379181000000003</v>
      </c>
      <c r="AA71" s="1275">
        <f t="shared" si="228"/>
        <v>60.379181000000003</v>
      </c>
      <c r="AB71" s="352">
        <f t="shared" si="228"/>
        <v>58.313786</v>
      </c>
      <c r="AC71" s="352">
        <f t="shared" si="228"/>
        <v>57.077347000000003</v>
      </c>
      <c r="AD71" s="352">
        <f t="shared" si="228"/>
        <v>57.899706000000002</v>
      </c>
      <c r="AE71" s="352">
        <f t="shared" si="228"/>
        <v>55.660254000000002</v>
      </c>
      <c r="AF71" s="1275">
        <f t="shared" si="228"/>
        <v>55.660254000000002</v>
      </c>
      <c r="AG71" s="352">
        <f t="shared" si="228"/>
        <v>63.198846000000003</v>
      </c>
      <c r="AH71" s="352">
        <f t="shared" si="228"/>
        <v>67.728674999999996</v>
      </c>
      <c r="AI71" s="352">
        <f t="shared" si="228"/>
        <v>70.134037000000006</v>
      </c>
      <c r="AJ71" s="352">
        <f t="shared" si="228"/>
        <v>69.421307999999996</v>
      </c>
      <c r="AK71" s="1275">
        <f t="shared" si="228"/>
        <v>69.421307999999996</v>
      </c>
      <c r="AL71" s="352">
        <f t="shared" si="229" ref="AL71:AQ71">INDEX(MO_BSS_BVPS,0,COLUMN())</f>
        <v>56.185569000000001</v>
      </c>
      <c r="AM71" s="352">
        <f t="shared" si="229"/>
        <v>69.095883000000001</v>
      </c>
      <c r="AN71" s="352">
        <f t="shared" si="229"/>
        <v>72.650948999999997</v>
      </c>
      <c r="AO71" s="352">
        <f t="shared" si="229"/>
        <v>78.626215999999999</v>
      </c>
      <c r="AP71" s="1275">
        <f t="shared" si="229"/>
        <v>78.626215999999999</v>
      </c>
      <c r="AQ71" s="352">
        <f t="shared" si="229"/>
        <v>78.530591000000001</v>
      </c>
      <c r="AR71" s="352">
        <f t="shared" si="228"/>
        <v>66.116579999999999</v>
      </c>
      <c r="AS71" s="352">
        <f t="shared" si="228"/>
        <v>61.796095999999999</v>
      </c>
      <c r="AT71" s="352">
        <f t="shared" si="228"/>
        <v>59.019559000000001</v>
      </c>
      <c r="AU71" s="1275">
        <f t="shared" si="228"/>
        <v>59.019559000000001</v>
      </c>
      <c r="AV71" s="352">
        <f t="shared" si="230" ref="AV71:BE71">INDEX(MO_BSS_BVPS,0,COLUMN())</f>
        <v>56.813622000000002</v>
      </c>
      <c r="AW71" s="352">
        <f t="shared" si="230"/>
        <v>47.760379999999998</v>
      </c>
      <c r="AX71" s="352">
        <f t="shared" si="230"/>
        <v>46.182474999999997</v>
      </c>
      <c r="AY71" s="352">
        <f t="shared" si="230"/>
        <v>47.558684999999997</v>
      </c>
      <c r="AZ71" s="1275">
        <f t="shared" si="230"/>
        <v>47.556449000000001</v>
      </c>
      <c r="BA71" s="352">
        <f t="shared" si="230"/>
        <v>46.271075000000003</v>
      </c>
      <c r="BB71" s="352">
        <f t="shared" si="230"/>
        <v>47.054526000000003</v>
      </c>
      <c r="BC71" s="352">
        <f>INDEX(MO_BSS_BVPS,0,COLUMN())</f>
        <v>47.316412999999997</v>
      </c>
      <c r="BD71" s="352">
        <f t="shared" si="230"/>
        <v>50.911208000000002</v>
      </c>
      <c r="BE71" s="1275">
        <f t="shared" si="230"/>
        <v>50.911208000000002</v>
      </c>
      <c r="BF71" s="352">
        <f t="shared" si="231" ref="BF71:BJ71">INDEX(MO_BSS_BVPS,0,COLUMN())</f>
        <v>50.562052999999999</v>
      </c>
      <c r="BG71" s="352">
        <f t="shared" si="231"/>
        <v>52.254384000000002</v>
      </c>
      <c r="BH71" s="904">
        <f>INDEX(MO_BSS_BVPS,0,COLUMN())</f>
        <v>56.098745000000001</v>
      </c>
      <c r="BI71" s="353">
        <f t="shared" ca="1" si="231"/>
        <v>55.058219000000001</v>
      </c>
      <c r="BJ71" s="1310">
        <f t="shared" ca="1" si="231"/>
        <v>55.058219000000001</v>
      </c>
      <c r="BK71" s="353">
        <f ca="1" t="shared" si="232" ref="BK71:BR71">INDEX(MO_BSS_BVPS,0,COLUMN())</f>
        <v>57.753808999999997</v>
      </c>
      <c r="BL71" s="353">
        <f t="shared" ca="1" si="232"/>
        <v>60.049159000000003</v>
      </c>
      <c r="BM71" s="353">
        <f t="shared" ca="1" si="232"/>
        <v>62.583348000000001</v>
      </c>
      <c r="BN71" s="353">
        <f t="shared" ca="1" si="232"/>
        <v>65.801074999999997</v>
      </c>
      <c r="BO71" s="1310">
        <f t="shared" ca="1" si="232"/>
        <v>65.801074999999997</v>
      </c>
      <c r="BP71" s="1275">
        <f t="shared" ca="1" si="232"/>
        <v>77.646906999999999</v>
      </c>
      <c r="BQ71" s="1275">
        <f t="shared" ca="1" si="232"/>
        <v>93.086108999999993</v>
      </c>
      <c r="BR71" s="1310">
        <f t="shared" ca="1" si="232"/>
        <v>109.37665200000001</v>
      </c>
      <c r="BS71" s="246"/>
    </row>
    <row r="72" spans="1:71" s="705" customFormat="1" ht="15">
      <c r="A72" s="221" t="str">
        <f>INDEX(MO_BSS_TBVPS,0,COLUMN())</f>
        <v>Tangible Book Value per Common Share</v>
      </c>
      <c r="B72" s="222"/>
      <c r="C72" s="1275">
        <f t="shared" si="233" ref="C72:AU72">INDEX(MO_BSS_TBVPS,0,COLUMN())</f>
        <v>0</v>
      </c>
      <c r="D72" s="1275">
        <f t="shared" si="233"/>
        <v>0</v>
      </c>
      <c r="E72" s="1275">
        <f t="shared" si="233"/>
        <v>36.220033999999998</v>
      </c>
      <c r="F72" s="1275">
        <f t="shared" si="233"/>
        <v>40.043019999999999</v>
      </c>
      <c r="G72" s="1275">
        <f t="shared" si="233"/>
        <v>43.591245999999998</v>
      </c>
      <c r="H72" s="352">
        <f t="shared" si="233"/>
        <v>44.413935000000002</v>
      </c>
      <c r="I72" s="352">
        <f t="shared" si="233"/>
        <v>44.990743999999999</v>
      </c>
      <c r="J72" s="352">
        <f t="shared" si="233"/>
        <v>45.609175</v>
      </c>
      <c r="K72" s="352">
        <f t="shared" si="233"/>
        <v>45.822088000000001</v>
      </c>
      <c r="L72" s="1275">
        <f t="shared" si="233"/>
        <v>45.822088000000001</v>
      </c>
      <c r="M72" s="352">
        <f t="shared" si="233"/>
        <v>45.638815999999998</v>
      </c>
      <c r="N72" s="352">
        <f t="shared" si="233"/>
        <v>46.732702000000003</v>
      </c>
      <c r="O72" s="352">
        <f t="shared" si="233"/>
        <v>46.113939999999999</v>
      </c>
      <c r="P72" s="352">
        <f t="shared" si="233"/>
        <v>46.482143000000001</v>
      </c>
      <c r="Q72" s="1275">
        <f t="shared" si="233"/>
        <v>46.482143000000001</v>
      </c>
      <c r="R72" s="352">
        <f t="shared" si="233"/>
        <v>46.903230999999998</v>
      </c>
      <c r="S72" s="352">
        <f t="shared" si="233"/>
        <v>47.334235</v>
      </c>
      <c r="T72" s="352">
        <f t="shared" si="233"/>
        <v>48.886884000000002</v>
      </c>
      <c r="U72" s="352">
        <f t="shared" si="233"/>
        <v>50.434631000000003</v>
      </c>
      <c r="V72" s="1275">
        <f t="shared" si="233"/>
        <v>50.434631000000003</v>
      </c>
      <c r="W72" s="352">
        <f t="shared" si="233"/>
        <v>52.333742999999998</v>
      </c>
      <c r="X72" s="352">
        <f t="shared" si="233"/>
        <v>52.359321000000001</v>
      </c>
      <c r="Y72" s="352">
        <f t="shared" si="233"/>
        <v>55.078285000000001</v>
      </c>
      <c r="Z72" s="352">
        <f t="shared" si="233"/>
        <v>50.965466999999997</v>
      </c>
      <c r="AA72" s="1275">
        <f t="shared" si="233"/>
        <v>50.965466999999997</v>
      </c>
      <c r="AB72" s="352">
        <f t="shared" si="233"/>
        <v>52.091997999999997</v>
      </c>
      <c r="AC72" s="352">
        <f t="shared" si="233"/>
        <v>52.620285000000003</v>
      </c>
      <c r="AD72" s="352">
        <f t="shared" si="233"/>
        <v>54.636960999999999</v>
      </c>
      <c r="AE72" s="352">
        <f t="shared" si="233"/>
        <v>51.930905000000003</v>
      </c>
      <c r="AF72" s="1275">
        <f t="shared" si="233"/>
        <v>51.930905000000003</v>
      </c>
      <c r="AG72" s="352">
        <f t="shared" si="233"/>
        <v>55.144199999999998</v>
      </c>
      <c r="AH72" s="352">
        <f t="shared" si="233"/>
        <v>55.662072000000002</v>
      </c>
      <c r="AI72" s="352">
        <f t="shared" si="233"/>
        <v>56.819553999999997</v>
      </c>
      <c r="AJ72" s="352">
        <f t="shared" si="233"/>
        <v>56.919049999999999</v>
      </c>
      <c r="AK72" s="1275">
        <f t="shared" si="233"/>
        <v>56.919049999999999</v>
      </c>
      <c r="AL72" s="352">
        <f t="shared" si="234" ref="AL72:AQ72">INDEX(MO_BSS_TBVPS,0,COLUMN())</f>
        <v>52.767901000000002</v>
      </c>
      <c r="AM72" s="352">
        <f t="shared" si="234"/>
        <v>54.196167000000003</v>
      </c>
      <c r="AN72" s="352">
        <f t="shared" si="234"/>
        <v>55.530994</v>
      </c>
      <c r="AO72" s="352">
        <f t="shared" si="234"/>
        <v>60.825583999999999</v>
      </c>
      <c r="AP72" s="1275">
        <f t="shared" si="234"/>
        <v>60.825583999999999</v>
      </c>
      <c r="AQ72" s="352">
        <f t="shared" si="234"/>
        <v>64.104927000000004</v>
      </c>
      <c r="AR72" s="352">
        <f t="shared" si="233"/>
        <v>61.264961999999997</v>
      </c>
      <c r="AS72" s="352">
        <f t="shared" si="233"/>
        <v>57.279321000000003</v>
      </c>
      <c r="AT72" s="352">
        <f t="shared" si="233"/>
        <v>53.273041999999997</v>
      </c>
      <c r="AU72" s="1275">
        <f t="shared" si="233"/>
        <v>53.273041999999997</v>
      </c>
      <c r="AV72" s="352">
        <f t="shared" si="235" ref="AV72:BE72">INDEX(MO_BSS_TBVPS,0,COLUMN())</f>
        <v>54.028756000000001</v>
      </c>
      <c r="AW72" s="352">
        <f t="shared" si="235"/>
        <v>47.607716000000003</v>
      </c>
      <c r="AX72" s="352">
        <f t="shared" si="235"/>
        <v>48.836910000000003</v>
      </c>
      <c r="AY72" s="352">
        <f t="shared" si="235"/>
        <v>49.577464999999997</v>
      </c>
      <c r="AZ72" s="1275">
        <f t="shared" si="235"/>
        <v>49.575133999999998</v>
      </c>
      <c r="BA72" s="352">
        <f t="shared" si="235"/>
        <v>47.245573999999998</v>
      </c>
      <c r="BB72" s="352">
        <f t="shared" si="235"/>
        <v>48.810380000000002</v>
      </c>
      <c r="BC72" s="352">
        <f>INDEX(MO_BSS_TBVPS,0,COLUMN())</f>
        <v>47.708635999999998</v>
      </c>
      <c r="BD72" s="352">
        <f t="shared" si="235"/>
        <v>48.352496000000002</v>
      </c>
      <c r="BE72" s="1275">
        <f t="shared" si="235"/>
        <v>48.352496000000002</v>
      </c>
      <c r="BF72" s="352">
        <f t="shared" si="236" ref="BF72:BJ72">INDEX(MO_BSS_TBVPS,0,COLUMN())</f>
        <v>47.759675000000001</v>
      </c>
      <c r="BG72" s="352">
        <f t="shared" si="236"/>
        <v>49.644049000000003</v>
      </c>
      <c r="BH72" s="904">
        <f>INDEX(MO_BSS_TBVPS,0,COLUMN())</f>
        <v>51.284833999999996</v>
      </c>
      <c r="BI72" s="353">
        <f t="shared" ca="1" si="236"/>
        <v>50.244307999999997</v>
      </c>
      <c r="BJ72" s="1310">
        <f t="shared" ca="1" si="236"/>
        <v>50.244307999999997</v>
      </c>
      <c r="BK72" s="353">
        <f ca="1" t="shared" si="237" ref="BK72:BR72">INDEX(MO_BSS_TBVPS,0,COLUMN())</f>
        <v>52.939897999999999</v>
      </c>
      <c r="BL72" s="353">
        <f t="shared" ca="1" si="237"/>
        <v>55.235247999999999</v>
      </c>
      <c r="BM72" s="353">
        <f t="shared" ca="1" si="237"/>
        <v>57.769437000000003</v>
      </c>
      <c r="BN72" s="353">
        <f t="shared" ca="1" si="237"/>
        <v>60.987164</v>
      </c>
      <c r="BO72" s="1310">
        <f t="shared" ca="1" si="237"/>
        <v>60.987164</v>
      </c>
      <c r="BP72" s="1275">
        <f t="shared" ca="1" si="237"/>
        <v>72.832995999999994</v>
      </c>
      <c r="BQ72" s="1275">
        <f t="shared" ca="1" si="237"/>
        <v>88.272198000000003</v>
      </c>
      <c r="BR72" s="1310">
        <f t="shared" ca="1" si="237"/>
        <v>104.562741</v>
      </c>
      <c r="BS72" s="246"/>
    </row>
    <row r="73" spans="1:71" s="705" customFormat="1" ht="15">
      <c r="A73" s="221"/>
      <c r="B73" s="222"/>
      <c r="C73" s="1275"/>
      <c r="D73" s="1275"/>
      <c r="E73" s="1275"/>
      <c r="F73" s="1275"/>
      <c r="G73" s="1275"/>
      <c r="H73" s="352"/>
      <c r="I73" s="352"/>
      <c r="J73" s="352"/>
      <c r="K73" s="352"/>
      <c r="L73" s="1275"/>
      <c r="M73" s="352"/>
      <c r="N73" s="352"/>
      <c r="O73" s="352"/>
      <c r="P73" s="352"/>
      <c r="Q73" s="1275"/>
      <c r="R73" s="352"/>
      <c r="S73" s="352"/>
      <c r="T73" s="352"/>
      <c r="U73" s="352"/>
      <c r="V73" s="1275"/>
      <c r="W73" s="352"/>
      <c r="X73" s="352"/>
      <c r="Y73" s="352"/>
      <c r="Z73" s="352"/>
      <c r="AA73" s="1275"/>
      <c r="AB73" s="352"/>
      <c r="AC73" s="352"/>
      <c r="AD73" s="352"/>
      <c r="AE73" s="352"/>
      <c r="AF73" s="1275"/>
      <c r="AG73" s="352"/>
      <c r="AH73" s="352"/>
      <c r="AI73" s="352"/>
      <c r="AJ73" s="352"/>
      <c r="AK73" s="1275"/>
      <c r="AL73" s="352"/>
      <c r="AM73" s="352"/>
      <c r="AN73" s="352"/>
      <c r="AO73" s="352"/>
      <c r="AP73" s="1275"/>
      <c r="AQ73" s="352"/>
      <c r="AR73" s="352"/>
      <c r="AS73" s="352"/>
      <c r="AT73" s="352"/>
      <c r="AU73" s="1275"/>
      <c r="AV73" s="352"/>
      <c r="AW73" s="352"/>
      <c r="AX73" s="352"/>
      <c r="AY73" s="352"/>
      <c r="AZ73" s="1275"/>
      <c r="BA73" s="352"/>
      <c r="BB73" s="352"/>
      <c r="BC73" s="352"/>
      <c r="BD73" s="352"/>
      <c r="BE73" s="1275"/>
      <c r="BF73" s="352"/>
      <c r="BG73" s="352"/>
      <c r="BH73" s="904"/>
      <c r="BI73" s="353"/>
      <c r="BJ73" s="1310"/>
      <c r="BK73" s="353"/>
      <c r="BL73" s="353"/>
      <c r="BM73" s="353"/>
      <c r="BN73" s="353"/>
      <c r="BO73" s="1310"/>
      <c r="BP73" s="1275"/>
      <c r="BQ73" s="1275"/>
      <c r="BR73" s="1310"/>
      <c r="BS73" s="246"/>
    </row>
    <row r="74" spans="1:71" ht="15">
      <c r="A74" s="70" t="s">
        <v>440</v>
      </c>
      <c r="B74" s="958"/>
      <c r="C74" s="1012"/>
      <c r="D74" s="1012"/>
      <c r="E74" s="1012"/>
      <c r="F74" s="1012"/>
      <c r="G74" s="1012"/>
      <c r="H74" s="1012"/>
      <c r="I74" s="1012"/>
      <c r="J74" s="1012"/>
      <c r="K74" s="1012"/>
      <c r="L74" s="1012"/>
      <c r="M74" s="1012"/>
      <c r="N74" s="1012"/>
      <c r="O74" s="1012"/>
      <c r="P74" s="1012"/>
      <c r="Q74" s="1012"/>
      <c r="R74" s="1012"/>
      <c r="S74" s="1012"/>
      <c r="T74" s="1012"/>
      <c r="U74" s="1012"/>
      <c r="V74" s="1012"/>
      <c r="W74" s="1012"/>
      <c r="X74" s="1012"/>
      <c r="Y74" s="1012"/>
      <c r="Z74" s="1012"/>
      <c r="AA74" s="1012"/>
      <c r="AB74" s="1012"/>
      <c r="AC74" s="1012"/>
      <c r="AD74" s="1012"/>
      <c r="AE74" s="1012"/>
      <c r="AF74" s="1012"/>
      <c r="AG74" s="1012"/>
      <c r="AH74" s="1012"/>
      <c r="AI74" s="1012"/>
      <c r="AJ74" s="1012"/>
      <c r="AK74" s="1012"/>
      <c r="AL74" s="1012"/>
      <c r="AM74" s="1012"/>
      <c r="AN74" s="1012"/>
      <c r="AO74" s="1012"/>
      <c r="AP74" s="1012"/>
      <c r="AQ74" s="1012"/>
      <c r="AR74" s="1012"/>
      <c r="AS74" s="1012"/>
      <c r="AT74" s="1012"/>
      <c r="AU74" s="1012"/>
      <c r="AV74" s="1012"/>
      <c r="AW74" s="1012"/>
      <c r="AX74" s="1012"/>
      <c r="AY74" s="1012"/>
      <c r="AZ74" s="1012"/>
      <c r="BA74" s="1012"/>
      <c r="BB74" s="1012"/>
      <c r="BC74" s="1012"/>
      <c r="BD74" s="1012"/>
      <c r="BE74" s="1012"/>
      <c r="BF74" s="1012"/>
      <c r="BG74" s="1012"/>
      <c r="BH74" s="1013"/>
      <c r="BI74" s="1014"/>
      <c r="BJ74" s="1014"/>
      <c r="BK74" s="1014"/>
      <c r="BL74" s="1014"/>
      <c r="BM74" s="1014"/>
      <c r="BN74" s="1014"/>
      <c r="BO74" s="1014"/>
      <c r="BP74" s="1012"/>
      <c r="BQ74" s="1012"/>
      <c r="BR74" s="1014"/>
      <c r="BS74" s="959"/>
    </row>
    <row r="75" spans="1:71" s="712" customFormat="1" ht="15">
      <c r="A75" s="230" t="str">
        <f>INDEX(MO_VA_P_ToE,0,COLUMN())</f>
        <v>P/E - EoP</v>
      </c>
      <c r="B75" s="231"/>
      <c r="C75" s="1311">
        <f>INDEX(MO_VA_P_ToE,0,COLUMN())</f>
        <v>5.6802157996146434</v>
      </c>
      <c r="D75" s="1311">
        <f>INDEX(MO_VA_P_ToE,0,COLUMN())</f>
        <v>7.4697077244258887</v>
      </c>
      <c r="E75" s="1311">
        <f>INDEX(MO_VA_P_ToE,0,COLUMN())</f>
        <v>11.099359649122809</v>
      </c>
      <c r="F75" s="1311">
        <f>INDEX(MO_VA_P_ToE,0,COLUMN())</f>
        <v>7.6995122950819672</v>
      </c>
      <c r="G75" s="1311">
        <f>INDEX(MO_VA_P_ToE,0,COLUMN())</f>
        <v>11.069859872611465</v>
      </c>
      <c r="H75" s="345"/>
      <c r="I75" s="345"/>
      <c r="J75" s="345"/>
      <c r="K75" s="345"/>
      <c r="L75" s="1311">
        <f>INDEX(MO_VA_P_ToE,0,COLUMN())</f>
        <v>12.359491150442478</v>
      </c>
      <c r="M75" s="345"/>
      <c r="N75" s="345"/>
      <c r="O75" s="345"/>
      <c r="P75" s="345"/>
      <c r="Q75" s="1311">
        <f>INDEX(MO_VA_P_ToE,0,COLUMN())</f>
        <v>13.444950617283952</v>
      </c>
      <c r="R75" s="345"/>
      <c r="S75" s="346"/>
      <c r="T75" s="346"/>
      <c r="U75" s="345"/>
      <c r="V75" s="1311">
        <f>INDEX(MO_VA_P_ToE,0,COLUMN())</f>
        <v>14.604157303370787</v>
      </c>
      <c r="W75" s="346"/>
      <c r="X75" s="346"/>
      <c r="Y75" s="346"/>
      <c r="Z75" s="345"/>
      <c r="AA75" s="1311">
        <f>INDEX(MO_VA_P_ToE,0,COLUMN())</f>
        <v>16.576346938775512</v>
      </c>
      <c r="AB75" s="346"/>
      <c r="AC75" s="346"/>
      <c r="AD75" s="346"/>
      <c r="AE75" s="345"/>
      <c r="AF75" s="1311">
        <f>INDEX(MO_VA_P_ToE,0,COLUMN())</f>
        <v>10.641035479632063</v>
      </c>
      <c r="AG75" s="346"/>
      <c r="AH75" s="346"/>
      <c r="AI75" s="346"/>
      <c r="AJ75" s="345"/>
      <c r="AK75" s="1311">
        <f>INDEX(MO_VA_P_ToE,0,COLUMN())</f>
        <v>12.705178571428572</v>
      </c>
      <c r="AL75" s="346"/>
      <c r="AM75" s="346"/>
      <c r="AN75" s="346"/>
      <c r="AO75" s="345"/>
      <c r="AP75" s="1311">
        <f>INDEX(MO_VA_P_ToE,0,COLUMN())</f>
        <v>16.20250311850312</v>
      </c>
      <c r="AQ75" s="346"/>
      <c r="AR75" s="346"/>
      <c r="AS75" s="346"/>
      <c r="AT75" s="346"/>
      <c r="AU75" s="1311">
        <f>INDEX(MO_VA_P_ToE,0,COLUMN())</f>
        <v>11.795214501510575</v>
      </c>
      <c r="AV75" s="346"/>
      <c r="AW75" s="346"/>
      <c r="AX75" s="346"/>
      <c r="AY75" s="346"/>
      <c r="AZ75" s="1311">
        <f>INDEX(MO_VA_P_ToE,0,COLUMN())</f>
        <v>11.792531722054381</v>
      </c>
      <c r="BA75" s="346"/>
      <c r="BB75" s="346"/>
      <c r="BC75" s="346"/>
      <c r="BD75" s="346"/>
      <c r="BE75" s="1311">
        <f>INDEX(MO_VA_P_ToE,0,COLUMN())</f>
        <v>11.264661452513966</v>
      </c>
      <c r="BF75" s="346"/>
      <c r="BG75" s="346"/>
      <c r="BH75" s="922"/>
      <c r="BI75" s="92"/>
      <c r="BJ75" s="1312">
        <f ca="1">INDEX(MO_VA_P_ToE,0,COLUMN())</f>
        <v>12.978719768915191</v>
      </c>
      <c r="BK75" s="92"/>
      <c r="BL75" s="92"/>
      <c r="BM75" s="92"/>
      <c r="BN75" s="92"/>
      <c r="BO75" s="1312">
        <f ca="1">INDEX(MO_VA_P_ToE,0,COLUMN())</f>
        <v>11.12362909553643</v>
      </c>
      <c r="BP75" s="1311">
        <f ca="1">INDEX(MO_VA_P_ToE,0,COLUMN())</f>
        <v>10.306285420459186</v>
      </c>
      <c r="BQ75" s="1311">
        <f ca="1">INDEX(MO_VA_P_ToE,0,COLUMN())</f>
        <v>8.203964078838629</v>
      </c>
      <c r="BR75" s="1312">
        <f ca="1">INDEX(MO_VA_P_ToE,0,COLUMN())</f>
        <v>7.8198065415242501</v>
      </c>
      <c r="BS75" s="92"/>
    </row>
    <row r="76" spans="1:71" s="712" customFormat="1" ht="15">
      <c r="A76" s="230" t="str">
        <f>INDEX(MO_VA_P_ToB,0,COLUMN())</f>
        <v>P/B - EoP</v>
      </c>
      <c r="B76" s="231"/>
      <c r="C76" s="1311">
        <f>INDEX(MO_VA_P_ToB,0,COLUMN())</f>
        <v>0</v>
      </c>
      <c r="D76" s="1311">
        <f>INDEX(MO_VA_P_ToB,0,COLUMN())</f>
        <v>0</v>
      </c>
      <c r="E76" s="1311">
        <f>INDEX(MO_VA_P_ToB,0,COLUMN())</f>
        <v>0.85171160670973278</v>
      </c>
      <c r="F76" s="1311">
        <f>INDEX(MO_VA_P_ToB,0,COLUMN())</f>
        <v>0.77419700575059625</v>
      </c>
      <c r="G76" s="1311">
        <f>INDEX(MO_VA_P_ToB,0,COLUMN())</f>
        <v>1.1247209493943249</v>
      </c>
      <c r="H76" s="345"/>
      <c r="I76" s="345"/>
      <c r="J76" s="345"/>
      <c r="K76" s="345"/>
      <c r="L76" s="1311">
        <f>INDEX(MO_VA_P_ToB,0,COLUMN())</f>
        <v>1.103143365600741</v>
      </c>
      <c r="M76" s="345"/>
      <c r="N76" s="345"/>
      <c r="O76" s="345"/>
      <c r="P76" s="345"/>
      <c r="Q76" s="1311">
        <f>INDEX(MO_VA_P_ToB,0,COLUMN())</f>
        <v>1.3923144054326968</v>
      </c>
      <c r="R76" s="345"/>
      <c r="S76" s="346"/>
      <c r="T76" s="346"/>
      <c r="U76" s="345"/>
      <c r="V76" s="1311">
        <f>INDEX(MO_VA_P_ToB,0,COLUMN())</f>
        <v>1.5581322301879739</v>
      </c>
      <c r="W76" s="346"/>
      <c r="X76" s="346"/>
      <c r="Y76" s="346"/>
      <c r="Z76" s="345"/>
      <c r="AA76" s="1311">
        <f>INDEX(MO_VA_P_ToB,0,COLUMN())</f>
        <v>1.7976394876903017</v>
      </c>
      <c r="AB76" s="346"/>
      <c r="AC76" s="346"/>
      <c r="AD76" s="346"/>
      <c r="AE76" s="345"/>
      <c r="AF76" s="1311">
        <f>INDEX(MO_VA_P_ToB,0,COLUMN())</f>
        <v>1.6058137284102223</v>
      </c>
      <c r="AG76" s="346"/>
      <c r="AH76" s="346"/>
      <c r="AI76" s="346"/>
      <c r="AJ76" s="345"/>
      <c r="AK76" s="1311">
        <f>INDEX(MO_VA_P_ToB,0,COLUMN())</f>
        <v>1.5767493173709721</v>
      </c>
      <c r="AL76" s="346"/>
      <c r="AM76" s="346"/>
      <c r="AN76" s="346"/>
      <c r="AO76" s="345"/>
      <c r="AP76" s="1311">
        <f>INDEX(MO_VA_P_ToB,0,COLUMN())</f>
        <v>1.1112069796160609</v>
      </c>
      <c r="AQ76" s="346"/>
      <c r="AR76" s="346"/>
      <c r="AS76" s="346"/>
      <c r="AT76" s="346"/>
      <c r="AU76" s="1311">
        <f>INDEX(MO_VA_P_ToB,0,COLUMN())</f>
        <v>2.318383978436708</v>
      </c>
      <c r="AV76" s="346"/>
      <c r="AW76" s="346"/>
      <c r="AX76" s="346"/>
      <c r="AY76" s="346"/>
      <c r="AZ76" s="1311">
        <f>INDEX(MO_VA_P_ToB,0,COLUMN())</f>
        <v>2.8866747388981882</v>
      </c>
      <c r="BA76" s="346"/>
      <c r="BB76" s="346"/>
      <c r="BC76" s="346"/>
      <c r="BD76" s="346"/>
      <c r="BE76" s="1311">
        <f>INDEX(MO_VA_P_ToB,0,COLUMN())</f>
        <v>2.3352421730004913</v>
      </c>
      <c r="BF76" s="346"/>
      <c r="BG76" s="346"/>
      <c r="BH76" s="922"/>
      <c r="BI76" s="92"/>
      <c r="BJ76" s="1312">
        <f ca="1">INDEX(MO_VA_P_ToB,0,COLUMN())</f>
        <v>2.5796330244536243</v>
      </c>
      <c r="BK76" s="92"/>
      <c r="BL76" s="92"/>
      <c r="BM76" s="92"/>
      <c r="BN76" s="92"/>
      <c r="BO76" s="1312">
        <f ca="1">INDEX(MO_VA_P_ToB,0,COLUMN())</f>
        <v>2.1584753744524692</v>
      </c>
      <c r="BP76" s="1311">
        <f ca="1">INDEX(MO_VA_P_ToB,0,COLUMN())</f>
        <v>1.8291778190211749</v>
      </c>
      <c r="BQ76" s="1311">
        <f ca="1">INDEX(MO_VA_P_ToB,0,COLUMN())</f>
        <v>1.5257915657426395</v>
      </c>
      <c r="BR76" s="1312">
        <f ca="1">INDEX(MO_VA_P_ToB,0,COLUMN())</f>
        <v>1.298540386845997</v>
      </c>
      <c r="BS76" s="92"/>
    </row>
    <row r="77" spans="1:71" s="699" customFormat="1" ht="15">
      <c r="A77" s="229"/>
      <c r="B77" s="220"/>
      <c r="C77" s="1308"/>
      <c r="D77" s="1308"/>
      <c r="E77" s="1308"/>
      <c r="F77" s="1308"/>
      <c r="G77" s="1308"/>
      <c r="H77" s="344"/>
      <c r="I77" s="344"/>
      <c r="J77" s="344"/>
      <c r="K77" s="344"/>
      <c r="L77" s="1308"/>
      <c r="M77" s="344"/>
      <c r="N77" s="344"/>
      <c r="O77" s="344"/>
      <c r="P77" s="344"/>
      <c r="Q77" s="1308"/>
      <c r="R77" s="344"/>
      <c r="S77" s="344"/>
      <c r="T77" s="344"/>
      <c r="U77" s="344"/>
      <c r="V77" s="1308"/>
      <c r="W77" s="344"/>
      <c r="X77" s="344"/>
      <c r="Y77" s="344"/>
      <c r="Z77" s="344"/>
      <c r="AA77" s="1308"/>
      <c r="AB77" s="344"/>
      <c r="AC77" s="344"/>
      <c r="AD77" s="344"/>
      <c r="AE77" s="344"/>
      <c r="AF77" s="1308"/>
      <c r="AG77" s="344"/>
      <c r="AH77" s="344"/>
      <c r="AI77" s="344"/>
      <c r="AJ77" s="344"/>
      <c r="AK77" s="1308"/>
      <c r="AL77" s="344"/>
      <c r="AM77" s="344"/>
      <c r="AN77" s="344"/>
      <c r="AO77" s="344"/>
      <c r="AP77" s="1308"/>
      <c r="AQ77" s="344"/>
      <c r="AR77" s="344"/>
      <c r="AS77" s="344"/>
      <c r="AT77" s="344"/>
      <c r="AU77" s="1308"/>
      <c r="AV77" s="344"/>
      <c r="AW77" s="344"/>
      <c r="AX77" s="344"/>
      <c r="AY77" s="344"/>
      <c r="AZ77" s="1308"/>
      <c r="BA77" s="344"/>
      <c r="BB77" s="344"/>
      <c r="BC77" s="344"/>
      <c r="BD77" s="344"/>
      <c r="BE77" s="1308"/>
      <c r="BF77" s="344"/>
      <c r="BG77" s="344"/>
      <c r="BH77" s="921"/>
      <c r="BI77" s="90"/>
      <c r="BJ77" s="1309"/>
      <c r="BK77" s="90"/>
      <c r="BL77" s="90"/>
      <c r="BM77" s="90"/>
      <c r="BN77" s="90"/>
      <c r="BO77" s="1309"/>
      <c r="BP77" s="1308"/>
      <c r="BQ77" s="1308"/>
      <c r="BR77" s="1309"/>
      <c r="BS77" s="79"/>
    </row>
    <row r="78" spans="1:71" ht="15">
      <c r="A78" s="70" t="s">
        <v>441</v>
      </c>
      <c r="B78" s="958"/>
      <c r="C78" s="1012"/>
      <c r="D78" s="1012"/>
      <c r="E78" s="1012"/>
      <c r="F78" s="1012"/>
      <c r="G78" s="1012"/>
      <c r="H78" s="1012"/>
      <c r="I78" s="1012"/>
      <c r="J78" s="1012"/>
      <c r="K78" s="1012"/>
      <c r="L78" s="1012"/>
      <c r="M78" s="1012"/>
      <c r="N78" s="1012"/>
      <c r="O78" s="1012"/>
      <c r="P78" s="1012"/>
      <c r="Q78" s="1012"/>
      <c r="R78" s="1012"/>
      <c r="S78" s="1012"/>
      <c r="T78" s="1012"/>
      <c r="U78" s="1012"/>
      <c r="V78" s="1012"/>
      <c r="W78" s="1012"/>
      <c r="X78" s="1012"/>
      <c r="Y78" s="1012"/>
      <c r="Z78" s="1012"/>
      <c r="AA78" s="1012"/>
      <c r="AB78" s="1012"/>
      <c r="AC78" s="1012"/>
      <c r="AD78" s="1012"/>
      <c r="AE78" s="1012"/>
      <c r="AF78" s="1012"/>
      <c r="AG78" s="1012"/>
      <c r="AH78" s="1012"/>
      <c r="AI78" s="1012"/>
      <c r="AJ78" s="1012"/>
      <c r="AK78" s="1012"/>
      <c r="AL78" s="1012"/>
      <c r="AM78" s="1012"/>
      <c r="AN78" s="1012"/>
      <c r="AO78" s="1012"/>
      <c r="AP78" s="1012"/>
      <c r="AQ78" s="1012"/>
      <c r="AR78" s="1012"/>
      <c r="AS78" s="1012"/>
      <c r="AT78" s="1012"/>
      <c r="AU78" s="1012"/>
      <c r="AV78" s="1012"/>
      <c r="AW78" s="1012"/>
      <c r="AX78" s="1012"/>
      <c r="AY78" s="1012"/>
      <c r="AZ78" s="1012"/>
      <c r="BA78" s="1012"/>
      <c r="BB78" s="1012"/>
      <c r="BC78" s="1012"/>
      <c r="BD78" s="1012"/>
      <c r="BE78" s="1012"/>
      <c r="BF78" s="1012"/>
      <c r="BG78" s="1012"/>
      <c r="BH78" s="1013"/>
      <c r="BI78" s="1014"/>
      <c r="BJ78" s="1014"/>
      <c r="BK78" s="1014"/>
      <c r="BL78" s="1014"/>
      <c r="BM78" s="1014"/>
      <c r="BN78" s="1014"/>
      <c r="BO78" s="1014"/>
      <c r="BP78" s="1012"/>
      <c r="BQ78" s="1012"/>
      <c r="BR78" s="1014"/>
      <c r="BS78" s="79"/>
    </row>
    <row r="79" spans="1:71" ht="15" hidden="1" outlineLevel="1">
      <c r="A79" s="959" t="s">
        <v>442</v>
      </c>
      <c r="B79" s="175"/>
      <c r="C79" s="996">
        <f t="shared" si="238" ref="C79:AU79">ROUND(INDEX(SP_GF_NI,0,COLUMN())-INDEX(MO_RIS_NI_GAAP_Basic,0,COLUMN()),6)</f>
        <v>0</v>
      </c>
      <c r="D79" s="996">
        <f t="shared" si="238"/>
        <v>0</v>
      </c>
      <c r="E79" s="996">
        <f t="shared" si="238"/>
        <v>0</v>
      </c>
      <c r="F79" s="996">
        <f t="shared" si="238"/>
        <v>0</v>
      </c>
      <c r="G79" s="996">
        <f t="shared" si="238"/>
        <v>0</v>
      </c>
      <c r="H79" s="996">
        <f t="shared" si="238"/>
        <v>0</v>
      </c>
      <c r="I79" s="996">
        <f t="shared" si="238"/>
        <v>0</v>
      </c>
      <c r="J79" s="996">
        <f t="shared" si="238"/>
        <v>0</v>
      </c>
      <c r="K79" s="996">
        <f t="shared" si="238"/>
        <v>0</v>
      </c>
      <c r="L79" s="996">
        <f t="shared" si="238"/>
        <v>0</v>
      </c>
      <c r="M79" s="996">
        <f t="shared" si="238"/>
        <v>0</v>
      </c>
      <c r="N79" s="996">
        <f t="shared" si="238"/>
        <v>0</v>
      </c>
      <c r="O79" s="996">
        <f t="shared" si="238"/>
        <v>0</v>
      </c>
      <c r="P79" s="996">
        <f t="shared" si="238"/>
        <v>0</v>
      </c>
      <c r="Q79" s="996">
        <f t="shared" si="238"/>
        <v>0</v>
      </c>
      <c r="R79" s="996">
        <f t="shared" si="238"/>
        <v>0</v>
      </c>
      <c r="S79" s="996">
        <f t="shared" si="238"/>
        <v>0</v>
      </c>
      <c r="T79" s="996">
        <f t="shared" si="238"/>
        <v>0</v>
      </c>
      <c r="U79" s="996">
        <f t="shared" si="238"/>
        <v>0</v>
      </c>
      <c r="V79" s="996">
        <f t="shared" si="238"/>
        <v>0</v>
      </c>
      <c r="W79" s="996">
        <f t="shared" si="238"/>
        <v>0</v>
      </c>
      <c r="X79" s="996">
        <f t="shared" si="238"/>
        <v>0</v>
      </c>
      <c r="Y79" s="996">
        <f t="shared" si="238"/>
        <v>0</v>
      </c>
      <c r="Z79" s="996">
        <f t="shared" si="238"/>
        <v>0</v>
      </c>
      <c r="AA79" s="996">
        <f t="shared" si="238"/>
        <v>0</v>
      </c>
      <c r="AB79" s="996">
        <f t="shared" si="238"/>
        <v>0</v>
      </c>
      <c r="AC79" s="996">
        <f t="shared" si="238"/>
        <v>0</v>
      </c>
      <c r="AD79" s="996">
        <f t="shared" si="238"/>
        <v>0</v>
      </c>
      <c r="AE79" s="996">
        <f t="shared" si="238"/>
        <v>0</v>
      </c>
      <c r="AF79" s="996">
        <f t="shared" si="238"/>
        <v>0</v>
      </c>
      <c r="AG79" s="996">
        <f t="shared" si="238"/>
        <v>0</v>
      </c>
      <c r="AH79" s="996">
        <f t="shared" si="238"/>
        <v>0</v>
      </c>
      <c r="AI79" s="996">
        <f t="shared" si="238"/>
        <v>0</v>
      </c>
      <c r="AJ79" s="996">
        <f t="shared" si="238"/>
        <v>0</v>
      </c>
      <c r="AK79" s="996">
        <f t="shared" si="238"/>
        <v>0</v>
      </c>
      <c r="AL79" s="996">
        <f t="shared" si="239" ref="AL79:AQ79">ROUND(INDEX(SP_GF_NI,0,COLUMN())-INDEX(MO_RIS_NI_GAAP_Basic,0,COLUMN()),6)</f>
        <v>0</v>
      </c>
      <c r="AM79" s="996">
        <f t="shared" si="239"/>
        <v>0</v>
      </c>
      <c r="AN79" s="996">
        <f t="shared" si="239"/>
        <v>0</v>
      </c>
      <c r="AO79" s="996">
        <f t="shared" si="239"/>
        <v>0</v>
      </c>
      <c r="AP79" s="996">
        <f t="shared" si="239"/>
        <v>0</v>
      </c>
      <c r="AQ79" s="996">
        <f t="shared" si="239"/>
        <v>0</v>
      </c>
      <c r="AR79" s="996">
        <f t="shared" si="238"/>
        <v>0</v>
      </c>
      <c r="AS79" s="996">
        <f t="shared" si="238"/>
        <v>0</v>
      </c>
      <c r="AT79" s="996">
        <f t="shared" si="238"/>
        <v>0</v>
      </c>
      <c r="AU79" s="996">
        <f t="shared" si="238"/>
        <v>0</v>
      </c>
      <c r="AV79" s="996">
        <f t="shared" si="240" ref="AV79:BE79">ROUND(INDEX(SP_GF_NI,0,COLUMN())-INDEX(MO_RIS_NI_GAAP_Basic,0,COLUMN()),6)</f>
        <v>0</v>
      </c>
      <c r="AW79" s="996">
        <f t="shared" si="240"/>
        <v>0</v>
      </c>
      <c r="AX79" s="996">
        <f t="shared" si="240"/>
        <v>0</v>
      </c>
      <c r="AY79" s="996">
        <f t="shared" si="240"/>
        <v>0</v>
      </c>
      <c r="AZ79" s="996">
        <f t="shared" si="240"/>
        <v>0</v>
      </c>
      <c r="BA79" s="996">
        <f t="shared" si="240"/>
        <v>0</v>
      </c>
      <c r="BB79" s="996">
        <f t="shared" si="240"/>
        <v>0</v>
      </c>
      <c r="BC79" s="996">
        <f>ROUND(INDEX(SP_GF_NI,0,COLUMN())-INDEX(MO_RIS_NI_GAAP_Basic,0,COLUMN()),6)</f>
        <v>0</v>
      </c>
      <c r="BD79" s="996">
        <f t="shared" si="240"/>
        <v>0</v>
      </c>
      <c r="BE79" s="996">
        <f t="shared" si="240"/>
        <v>0</v>
      </c>
      <c r="BF79" s="996">
        <f t="shared" si="241" ref="BF79:BJ79">ROUND(INDEX(SP_GF_NI,0,COLUMN())-INDEX(MO_RIS_NI_GAAP_Basic,0,COLUMN()),6)</f>
        <v>0</v>
      </c>
      <c r="BG79" s="996">
        <f t="shared" si="241"/>
        <v>0</v>
      </c>
      <c r="BH79" s="997">
        <f>ROUND(INDEX(SP_GF_NI,0,COLUMN())-INDEX(MO_RIS_NI_GAAP_Basic,0,COLUMN()),6)</f>
        <v>0</v>
      </c>
      <c r="BI79" s="998">
        <f t="shared" si="241"/>
        <v>0</v>
      </c>
      <c r="BJ79" s="998">
        <f t="shared" si="241"/>
        <v>0</v>
      </c>
      <c r="BK79" s="998">
        <f t="shared" si="242" ref="BK79:BR79">ROUND(INDEX(SP_GF_NI,0,COLUMN())-INDEX(MO_RIS_NI_GAAP_Basic,0,COLUMN()),6)</f>
        <v>0</v>
      </c>
      <c r="BL79" s="998">
        <f t="shared" si="242"/>
        <v>0</v>
      </c>
      <c r="BM79" s="998">
        <f t="shared" si="242"/>
        <v>0</v>
      </c>
      <c r="BN79" s="998">
        <f t="shared" si="242"/>
        <v>0</v>
      </c>
      <c r="BO79" s="998">
        <f t="shared" si="242"/>
        <v>0</v>
      </c>
      <c r="BP79" s="996">
        <f t="shared" si="242"/>
        <v>0</v>
      </c>
      <c r="BQ79" s="996">
        <f t="shared" si="242"/>
        <v>0</v>
      </c>
      <c r="BR79" s="998">
        <f t="shared" si="242"/>
        <v>0</v>
      </c>
      <c r="BS79" s="79"/>
    </row>
    <row r="80" spans="1:71" ht="15" hidden="1" outlineLevel="1">
      <c r="A80" s="959" t="s">
        <v>443</v>
      </c>
      <c r="B80" s="175"/>
      <c r="C80" s="996">
        <f t="shared" si="243" ref="C80:AU80">ROUND(INDEX(SP_UI_UI,0,COLUMN())-INDEX(MO_UI_UI,0,COLUMN()),3)</f>
        <v>0</v>
      </c>
      <c r="D80" s="996">
        <f t="shared" si="243"/>
        <v>0</v>
      </c>
      <c r="E80" s="996">
        <f t="shared" si="243"/>
        <v>0</v>
      </c>
      <c r="F80" s="996">
        <f t="shared" si="243"/>
        <v>0</v>
      </c>
      <c r="G80" s="996">
        <f t="shared" si="243"/>
        <v>0</v>
      </c>
      <c r="H80" s="996">
        <f t="shared" si="243"/>
        <v>0</v>
      </c>
      <c r="I80" s="996">
        <f t="shared" si="243"/>
        <v>0</v>
      </c>
      <c r="J80" s="996">
        <f t="shared" si="243"/>
        <v>0</v>
      </c>
      <c r="K80" s="996">
        <f t="shared" si="243"/>
        <v>0</v>
      </c>
      <c r="L80" s="996">
        <f t="shared" si="243"/>
        <v>0</v>
      </c>
      <c r="M80" s="996">
        <f t="shared" si="243"/>
        <v>0</v>
      </c>
      <c r="N80" s="996">
        <f t="shared" si="243"/>
        <v>0</v>
      </c>
      <c r="O80" s="996">
        <f t="shared" si="243"/>
        <v>0</v>
      </c>
      <c r="P80" s="996">
        <f t="shared" si="243"/>
        <v>0</v>
      </c>
      <c r="Q80" s="996">
        <f t="shared" si="243"/>
        <v>0</v>
      </c>
      <c r="R80" s="996">
        <f t="shared" si="243"/>
        <v>0</v>
      </c>
      <c r="S80" s="996">
        <f t="shared" si="243"/>
        <v>0</v>
      </c>
      <c r="T80" s="996">
        <f t="shared" si="243"/>
        <v>0</v>
      </c>
      <c r="U80" s="996">
        <f t="shared" si="243"/>
        <v>0</v>
      </c>
      <c r="V80" s="996">
        <f t="shared" si="243"/>
        <v>0</v>
      </c>
      <c r="W80" s="996">
        <f t="shared" si="243"/>
        <v>0</v>
      </c>
      <c r="X80" s="996">
        <f t="shared" si="243"/>
        <v>0</v>
      </c>
      <c r="Y80" s="996">
        <f t="shared" si="243"/>
        <v>0</v>
      </c>
      <c r="Z80" s="996">
        <f t="shared" si="243"/>
        <v>0</v>
      </c>
      <c r="AA80" s="996">
        <f t="shared" si="243"/>
        <v>0</v>
      </c>
      <c r="AB80" s="996">
        <f t="shared" si="243"/>
        <v>0</v>
      </c>
      <c r="AC80" s="996">
        <f t="shared" si="243"/>
        <v>0</v>
      </c>
      <c r="AD80" s="996">
        <f t="shared" si="243"/>
        <v>0</v>
      </c>
      <c r="AE80" s="996">
        <f t="shared" si="243"/>
        <v>0</v>
      </c>
      <c r="AF80" s="996">
        <f t="shared" si="243"/>
        <v>0</v>
      </c>
      <c r="AG80" s="996">
        <f t="shared" si="243"/>
        <v>0</v>
      </c>
      <c r="AH80" s="996">
        <f t="shared" si="243"/>
        <v>0</v>
      </c>
      <c r="AI80" s="996">
        <f t="shared" si="243"/>
        <v>0</v>
      </c>
      <c r="AJ80" s="996">
        <f t="shared" si="243"/>
        <v>0</v>
      </c>
      <c r="AK80" s="996">
        <f t="shared" si="243"/>
        <v>0</v>
      </c>
      <c r="AL80" s="996">
        <f t="shared" si="244" ref="AL80:AQ80">ROUND(INDEX(SP_UI_UI,0,COLUMN())-INDEX(MO_UI_UI,0,COLUMN()),3)</f>
        <v>0</v>
      </c>
      <c r="AM80" s="996">
        <f t="shared" si="244"/>
        <v>0</v>
      </c>
      <c r="AN80" s="996">
        <f t="shared" si="244"/>
        <v>0</v>
      </c>
      <c r="AO80" s="996">
        <f t="shared" si="244"/>
        <v>0</v>
      </c>
      <c r="AP80" s="996">
        <f t="shared" si="244"/>
        <v>0</v>
      </c>
      <c r="AQ80" s="996">
        <f t="shared" si="244"/>
        <v>0</v>
      </c>
      <c r="AR80" s="996">
        <f t="shared" si="243"/>
        <v>0</v>
      </c>
      <c r="AS80" s="996">
        <f t="shared" si="243"/>
        <v>0</v>
      </c>
      <c r="AT80" s="996">
        <f t="shared" si="243"/>
        <v>0</v>
      </c>
      <c r="AU80" s="996">
        <f t="shared" si="243"/>
        <v>0</v>
      </c>
      <c r="AV80" s="996">
        <f t="shared" si="245" ref="AV80:BE80">ROUND(INDEX(SP_UI_UI,0,COLUMN())-INDEX(MO_UI_UI,0,COLUMN()),3)</f>
        <v>0</v>
      </c>
      <c r="AW80" s="996">
        <f t="shared" si="245"/>
        <v>0</v>
      </c>
      <c r="AX80" s="996">
        <f t="shared" si="245"/>
        <v>0</v>
      </c>
      <c r="AY80" s="996">
        <f t="shared" si="245"/>
        <v>0</v>
      </c>
      <c r="AZ80" s="996">
        <f t="shared" si="245"/>
        <v>0</v>
      </c>
      <c r="BA80" s="996">
        <f t="shared" si="245"/>
        <v>0</v>
      </c>
      <c r="BB80" s="996">
        <f t="shared" si="245"/>
        <v>0</v>
      </c>
      <c r="BC80" s="996">
        <f>ROUND(INDEX(SP_UI_UI,0,COLUMN())-INDEX(MO_UI_UI,0,COLUMN()),3)</f>
        <v>0</v>
      </c>
      <c r="BD80" s="996">
        <f t="shared" si="245"/>
        <v>0</v>
      </c>
      <c r="BE80" s="996">
        <f t="shared" si="245"/>
        <v>0</v>
      </c>
      <c r="BF80" s="996">
        <f t="shared" si="246" ref="BF80:BJ80">ROUND(INDEX(SP_UI_UI,0,COLUMN())-INDEX(MO_UI_UI,0,COLUMN()),3)</f>
        <v>0</v>
      </c>
      <c r="BG80" s="996">
        <f t="shared" si="246"/>
        <v>0</v>
      </c>
      <c r="BH80" s="997">
        <f>ROUND(INDEX(SP_UI_UI,0,COLUMN())-INDEX(MO_UI_UI,0,COLUMN()),3)</f>
        <v>0</v>
      </c>
      <c r="BI80" s="998">
        <f t="shared" si="246"/>
        <v>0</v>
      </c>
      <c r="BJ80" s="998">
        <f t="shared" si="246"/>
        <v>0</v>
      </c>
      <c r="BK80" s="998">
        <f t="shared" si="247" ref="BK80:BR80">ROUND(INDEX(SP_UI_UI,0,COLUMN())-INDEX(MO_UI_UI,0,COLUMN()),3)</f>
        <v>0</v>
      </c>
      <c r="BL80" s="998">
        <f t="shared" si="247"/>
        <v>0</v>
      </c>
      <c r="BM80" s="998">
        <f t="shared" si="247"/>
        <v>0</v>
      </c>
      <c r="BN80" s="998">
        <f t="shared" si="247"/>
        <v>0</v>
      </c>
      <c r="BO80" s="998">
        <f t="shared" si="247"/>
        <v>0</v>
      </c>
      <c r="BP80" s="996">
        <f t="shared" si="247"/>
        <v>0</v>
      </c>
      <c r="BQ80" s="996">
        <f t="shared" si="247"/>
        <v>0</v>
      </c>
      <c r="BR80" s="998">
        <f t="shared" si="247"/>
        <v>0</v>
      </c>
      <c r="BS80" s="79"/>
    </row>
    <row r="81" spans="1:71" ht="15" collapsed="1">
      <c r="A81" s="79"/>
      <c r="B81" s="79"/>
      <c r="C81" s="1287"/>
      <c r="D81" s="1287"/>
      <c r="E81" s="1287"/>
      <c r="F81" s="1287"/>
      <c r="G81" s="1287"/>
      <c r="H81" s="337"/>
      <c r="I81" s="337"/>
      <c r="J81" s="337"/>
      <c r="K81" s="337"/>
      <c r="L81" s="1287"/>
      <c r="M81" s="337"/>
      <c r="N81" s="337"/>
      <c r="O81" s="337"/>
      <c r="P81" s="337"/>
      <c r="Q81" s="1287"/>
      <c r="R81" s="337"/>
      <c r="S81" s="337"/>
      <c r="T81" s="337"/>
      <c r="U81" s="337"/>
      <c r="V81" s="1287"/>
      <c r="W81" s="337"/>
      <c r="X81" s="337"/>
      <c r="Y81" s="337"/>
      <c r="Z81" s="337"/>
      <c r="AA81" s="1287"/>
      <c r="AB81" s="337"/>
      <c r="AC81" s="337"/>
      <c r="AD81" s="337"/>
      <c r="AE81" s="337"/>
      <c r="AF81" s="1287"/>
      <c r="AG81" s="337"/>
      <c r="AH81" s="337"/>
      <c r="AI81" s="337"/>
      <c r="AJ81" s="337"/>
      <c r="AK81" s="1287"/>
      <c r="AL81" s="337"/>
      <c r="AM81" s="337"/>
      <c r="AN81" s="337"/>
      <c r="AO81" s="337"/>
      <c r="AP81" s="1287"/>
      <c r="AQ81" s="337"/>
      <c r="AR81" s="337"/>
      <c r="AS81" s="337"/>
      <c r="AT81" s="337"/>
      <c r="AU81" s="1287"/>
      <c r="AV81" s="337"/>
      <c r="AW81" s="337"/>
      <c r="AX81" s="337"/>
      <c r="AY81" s="337"/>
      <c r="AZ81" s="1287"/>
      <c r="BA81" s="337"/>
      <c r="BB81" s="337"/>
      <c r="BC81" s="337"/>
      <c r="BD81" s="337"/>
      <c r="BE81" s="1287"/>
      <c r="BF81" s="337"/>
      <c r="BG81" s="337"/>
      <c r="BH81" s="909"/>
      <c r="BI81" s="79"/>
      <c r="BJ81" s="1288"/>
      <c r="BK81" s="79"/>
      <c r="BL81" s="79"/>
      <c r="BM81" s="79"/>
      <c r="BN81" s="79"/>
      <c r="BO81" s="1288"/>
      <c r="BP81" s="1287"/>
      <c r="BQ81" s="1287"/>
      <c r="BR81" s="1288"/>
      <c r="BS81" s="79"/>
    </row>
    <row r="82" spans="1:71" ht="15">
      <c r="A82" s="433" t="s">
        <v>617</v>
      </c>
      <c r="B82" s="72"/>
      <c r="C82" s="299"/>
      <c r="D82" s="299"/>
      <c r="E82" s="299"/>
      <c r="F82" s="299"/>
      <c r="G82" s="299"/>
      <c r="H82" s="299"/>
      <c r="I82" s="299"/>
      <c r="J82" s="299"/>
      <c r="K82" s="299"/>
      <c r="L82" s="299"/>
      <c r="M82" s="299"/>
      <c r="N82" s="299"/>
      <c r="O82" s="299"/>
      <c r="P82" s="299"/>
      <c r="Q82" s="299"/>
      <c r="R82" s="299"/>
      <c r="S82" s="299"/>
      <c r="T82" s="299"/>
      <c r="U82" s="299"/>
      <c r="V82" s="299"/>
      <c r="W82" s="299"/>
      <c r="X82" s="299"/>
      <c r="Y82" s="299"/>
      <c r="Z82" s="299"/>
      <c r="AA82" s="299"/>
      <c r="AB82" s="299"/>
      <c r="AC82" s="299"/>
      <c r="AD82" s="299"/>
      <c r="AE82" s="299"/>
      <c r="AF82" s="299"/>
      <c r="AG82" s="299"/>
      <c r="AH82" s="299"/>
      <c r="AI82" s="299"/>
      <c r="AJ82" s="299"/>
      <c r="AK82" s="299"/>
      <c r="AL82" s="299"/>
      <c r="AM82" s="299"/>
      <c r="AN82" s="299"/>
      <c r="AO82" s="299"/>
      <c r="AP82" s="299"/>
      <c r="AQ82" s="299"/>
      <c r="AR82" s="299"/>
      <c r="AS82" s="299"/>
      <c r="AT82" s="299"/>
      <c r="AU82" s="299"/>
      <c r="AV82" s="299"/>
      <c r="AW82" s="299"/>
      <c r="AX82" s="299"/>
      <c r="AY82" s="299"/>
      <c r="AZ82" s="299"/>
      <c r="BA82" s="299"/>
      <c r="BB82" s="299"/>
      <c r="BC82" s="299"/>
      <c r="BD82" s="299"/>
      <c r="BE82" s="299"/>
      <c r="BF82" s="299"/>
      <c r="BG82" s="299"/>
      <c r="BH82" s="299"/>
      <c r="BI82" s="72"/>
      <c r="BJ82" s="72"/>
      <c r="BK82" s="72"/>
      <c r="BL82" s="72"/>
      <c r="BM82" s="72"/>
      <c r="BN82" s="72"/>
      <c r="BO82" s="72"/>
      <c r="BP82" s="299"/>
      <c r="BQ82" s="299"/>
      <c r="BR82" s="72"/>
      <c r="BS82" s="79"/>
    </row>
    <row r="83" spans="1:71" ht="15" collapsed="1">
      <c r="A83" s="77"/>
      <c r="B83" s="79"/>
      <c r="C83" s="337"/>
      <c r="D83" s="337"/>
      <c r="E83" s="337"/>
      <c r="F83" s="337"/>
      <c r="G83" s="337"/>
      <c r="H83" s="337"/>
      <c r="I83" s="337"/>
      <c r="J83" s="337"/>
      <c r="K83" s="337"/>
      <c r="L83" s="337"/>
      <c r="M83" s="337"/>
      <c r="N83" s="337"/>
      <c r="O83" s="337"/>
      <c r="P83" s="337"/>
      <c r="Q83" s="337"/>
      <c r="R83" s="337"/>
      <c r="S83" s="337"/>
      <c r="T83" s="337"/>
      <c r="U83" s="337"/>
      <c r="V83" s="337"/>
      <c r="W83" s="337"/>
      <c r="X83" s="337"/>
      <c r="Y83" s="337"/>
      <c r="Z83" s="337"/>
      <c r="AA83" s="337"/>
      <c r="AB83" s="337"/>
      <c r="AC83" s="337"/>
      <c r="AD83" s="337"/>
      <c r="AE83" s="337"/>
      <c r="AF83" s="337"/>
      <c r="AG83" s="337"/>
      <c r="AH83" s="337"/>
      <c r="AI83" s="337"/>
      <c r="AJ83" s="337"/>
      <c r="AK83" s="337"/>
      <c r="AL83" s="337"/>
      <c r="AM83" s="337"/>
      <c r="AN83" s="337"/>
      <c r="AO83" s="337"/>
      <c r="AP83" s="337"/>
      <c r="AQ83" s="337"/>
      <c r="AR83" s="337"/>
      <c r="AS83" s="337"/>
      <c r="AT83" s="337"/>
      <c r="AU83" s="337"/>
      <c r="AV83" s="337"/>
      <c r="AW83" s="337"/>
      <c r="AX83" s="337"/>
      <c r="AY83" s="337"/>
      <c r="AZ83" s="337"/>
      <c r="BA83" s="337"/>
      <c r="BB83" s="337"/>
      <c r="BC83" s="337"/>
      <c r="BD83" s="337"/>
      <c r="BE83" s="337"/>
      <c r="BF83" s="337"/>
      <c r="BG83" s="337"/>
      <c r="BH83" s="337"/>
      <c r="BI83" s="79"/>
      <c r="BJ83" s="79"/>
      <c r="BK83" s="79"/>
      <c r="BL83" s="79"/>
      <c r="BM83" s="79"/>
      <c r="BN83" s="79"/>
      <c r="BO83" s="79"/>
      <c r="BP83" s="337"/>
      <c r="BQ83" s="337"/>
      <c r="BR83" s="79"/>
      <c r="BS83" s="79"/>
    </row>
  </sheetData>
  <conditionalFormatting sqref="C79:BR80">
    <cfRule type="cellIs" priority="148" dxfId="9" operator="equal">
      <formula>0</formula>
    </cfRule>
  </conditionalFormatting>
  <conditionalFormatting sqref="C79:BR80">
    <cfRule type="cellIs" priority="147" dxfId="8" operator="notEqual">
      <formula>0</formula>
    </cfRule>
  </conditionalFormatting>
  <dataValidations count="1">
    <dataValidation type="list" allowBlank="1" showInputMessage="1" showErrorMessage="1" sqref="B4">
      <formula1>OFFSET(tb_ValuationToggle,1,0,4,1)</formula1>
    </dataValidation>
  </dataValidations>
  <pageMargins left="0.7" right="0.7" top="0.75" bottom="0.75" header="0.3" footer="0.3"/>
  <pageSetup orientation="portrait" paperSize="1" scale="36"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9FEFAFD4-C343-4555-AE07-C6C0A1905FFF}">
  <sheetPr codeName="Sheet41"/>
  <dimension ref="A1:J75"/>
  <sheetViews>
    <sheetView showGridLines="0" workbookViewId="0" topLeftCell="A1"/>
  </sheetViews>
  <sheetFormatPr defaultColWidth="8.71428571428571" defaultRowHeight="15"/>
  <cols>
    <col min="1" max="1" width="4.42857142857143" style="15" customWidth="1"/>
    <col min="2" max="2" width="9.71428571428571" style="15" customWidth="1"/>
    <col min="3" max="3" width="15.7142857142857" style="15" customWidth="1"/>
    <col min="4" max="4" width="20.7142857142857" style="15" customWidth="1"/>
    <col min="5" max="5" width="30.7142857142857" style="15" customWidth="1"/>
    <col min="6" max="6" width="20.7142857142857" style="15"/>
    <col min="7" max="7" width="23.7142857142857" style="15" customWidth="1"/>
    <col min="8" max="8" width="45.7142857142857" style="15" customWidth="1"/>
    <col min="9" max="9" width="7.71428571428571" style="15" customWidth="1"/>
    <col min="10" max="10" width="8.71428571428571" style="15" customWidth="1"/>
    <col min="11" max="16384" width="8.71428571428571" style="15"/>
  </cols>
  <sheetData>
    <row r="1" spans="1:10" ht="15">
      <c r="A1" s="820"/>
      <c r="B1" s="820"/>
      <c r="C1" s="820"/>
      <c r="D1" s="820"/>
      <c r="E1" s="820"/>
      <c r="F1" s="820"/>
      <c r="G1" s="820"/>
      <c r="H1" s="820"/>
      <c r="I1" s="820"/>
      <c r="J1" s="820"/>
    </row>
    <row r="2" spans="1:10" ht="15">
      <c r="A2" s="820"/>
      <c r="B2" s="820"/>
      <c r="C2" s="820"/>
      <c r="D2" s="820"/>
      <c r="E2" s="820"/>
      <c r="F2" s="820"/>
      <c r="G2" s="820"/>
      <c r="H2" s="820"/>
      <c r="I2" s="820"/>
      <c r="J2" s="820"/>
    </row>
    <row r="3" spans="1:10" ht="15">
      <c r="A3" s="820"/>
      <c r="B3" s="820"/>
      <c r="C3" s="820"/>
      <c r="D3" s="820"/>
      <c r="E3" s="820"/>
      <c r="F3" s="820"/>
      <c r="G3" s="820"/>
      <c r="H3" s="820"/>
      <c r="I3" s="820"/>
      <c r="J3" s="820"/>
    </row>
    <row r="4" spans="1:10" ht="15">
      <c r="A4" s="820"/>
      <c r="B4" s="820"/>
      <c r="C4" s="820"/>
      <c r="D4" s="820"/>
      <c r="E4" s="820"/>
      <c r="F4" s="820"/>
      <c r="G4" s="820"/>
      <c r="H4" s="820"/>
      <c r="I4" s="820"/>
      <c r="J4" s="820"/>
    </row>
    <row r="5" spans="1:10" ht="15">
      <c r="A5" s="820"/>
      <c r="B5" s="820"/>
      <c r="C5" s="820"/>
      <c r="D5" s="820"/>
      <c r="E5" s="820"/>
      <c r="F5" s="820"/>
      <c r="G5" s="820"/>
      <c r="H5" s="820"/>
      <c r="I5" s="820"/>
      <c r="J5" s="820"/>
    </row>
    <row r="6" spans="1:10" ht="15">
      <c r="A6" s="820"/>
      <c r="B6" s="820"/>
      <c r="C6" s="820"/>
      <c r="D6" s="820"/>
      <c r="E6" s="820"/>
      <c r="F6" s="820"/>
      <c r="G6" s="820"/>
      <c r="H6" s="820"/>
      <c r="I6" s="820"/>
      <c r="J6" s="820"/>
    </row>
    <row r="7" spans="1:10" ht="18.75">
      <c r="A7" s="820"/>
      <c r="B7" s="820"/>
      <c r="C7" s="820"/>
      <c r="D7" s="820"/>
      <c r="E7" s="836">
        <f>MO.MRFPColumnNumber</f>
        <v>60</v>
      </c>
      <c r="F7" s="826" t="str">
        <f>MO.MRFP</f>
        <v>Q3-2024</v>
      </c>
      <c r="G7" s="826"/>
      <c r="H7" s="837" t="str">
        <f>AA.CSIN</f>
        <v>1EM0XH0128</v>
      </c>
      <c r="I7" s="822"/>
      <c r="J7" s="821"/>
    </row>
    <row r="8" spans="1:10" ht="15">
      <c r="A8" s="820"/>
      <c r="B8" s="820"/>
      <c r="C8" s="820"/>
      <c r="D8" s="820"/>
      <c r="E8" s="820"/>
      <c r="F8" s="820"/>
      <c r="G8" s="820"/>
      <c r="H8" s="838" t="str">
        <f>+AA.ModelVersion</f>
        <v>Q3-2024.21</v>
      </c>
      <c r="I8" s="820"/>
      <c r="J8" s="820"/>
    </row>
    <row r="9" spans="1:10" ht="15">
      <c r="A9" s="820"/>
      <c r="B9" s="820"/>
      <c r="C9" s="820"/>
      <c r="D9" s="820"/>
      <c r="E9" s="820"/>
      <c r="F9" s="820"/>
      <c r="G9" s="820"/>
      <c r="H9" s="820"/>
      <c r="I9" s="820"/>
      <c r="J9" s="820"/>
    </row>
    <row r="10" spans="1:10" ht="15">
      <c r="A10" s="820"/>
      <c r="B10" s="820"/>
      <c r="C10" s="862" t="s">
        <v>444</v>
      </c>
      <c r="D10" s="862" t="s">
        <v>445</v>
      </c>
      <c r="E10" s="862" t="s">
        <v>446</v>
      </c>
      <c r="F10" s="862" t="s">
        <v>481</v>
      </c>
      <c r="G10" s="862" t="s">
        <v>447</v>
      </c>
      <c r="H10" s="863" t="s">
        <v>448</v>
      </c>
      <c r="I10" s="820"/>
      <c r="J10" s="820"/>
    </row>
    <row r="11" spans="1:10" ht="15">
      <c r="A11" s="820"/>
      <c r="B11" s="820"/>
      <c r="C11" s="839">
        <v>45630</v>
      </c>
      <c r="D11" s="840" t="s">
        <v>621</v>
      </c>
      <c r="E11" s="841" t="s">
        <v>482</v>
      </c>
      <c r="F11" s="841" t="s">
        <v>620</v>
      </c>
      <c r="G11" s="842"/>
      <c r="H11" s="438" t="s">
        <v>451</v>
      </c>
      <c r="I11" s="820"/>
      <c r="J11" s="820"/>
    </row>
    <row r="12" spans="1:10" ht="15">
      <c r="A12" s="820"/>
      <c r="B12" s="820"/>
      <c r="C12" s="839">
        <v>45517</v>
      </c>
      <c r="D12" s="840" t="s">
        <v>573</v>
      </c>
      <c r="E12" s="841" t="s">
        <v>482</v>
      </c>
      <c r="F12" s="841" t="s">
        <v>618</v>
      </c>
      <c r="G12" s="842"/>
      <c r="H12" s="432" t="s">
        <v>451</v>
      </c>
      <c r="I12" s="820"/>
      <c r="J12" s="820"/>
    </row>
    <row r="13" spans="1:10" ht="15">
      <c r="A13" s="820"/>
      <c r="B13" s="820"/>
      <c r="C13" s="839">
        <v>45510</v>
      </c>
      <c r="D13" s="840" t="s">
        <v>619</v>
      </c>
      <c r="E13" s="841" t="s">
        <v>532</v>
      </c>
      <c r="F13" s="841" t="s">
        <v>618</v>
      </c>
      <c r="G13" s="842"/>
      <c r="H13" s="432" t="s">
        <v>451</v>
      </c>
      <c r="I13" s="820"/>
      <c r="J13" s="820"/>
    </row>
    <row r="14" spans="1:10" ht="15">
      <c r="A14" s="820"/>
      <c r="B14" s="820"/>
      <c r="C14" s="839">
        <v>45421</v>
      </c>
      <c r="D14" s="840" t="s">
        <v>573</v>
      </c>
      <c r="E14" s="841" t="s">
        <v>482</v>
      </c>
      <c r="F14" s="841" t="s">
        <v>613</v>
      </c>
      <c r="G14" s="842"/>
      <c r="H14" s="432" t="s">
        <v>451</v>
      </c>
      <c r="I14" s="820"/>
      <c r="J14" s="820"/>
    </row>
    <row r="15" spans="1:10" ht="15">
      <c r="A15" s="820"/>
      <c r="B15" s="820"/>
      <c r="C15" s="839">
        <v>45413</v>
      </c>
      <c r="D15" s="840" t="s">
        <v>614</v>
      </c>
      <c r="E15" s="841" t="s">
        <v>532</v>
      </c>
      <c r="F15" s="841" t="s">
        <v>613</v>
      </c>
      <c r="G15" s="842"/>
      <c r="H15" s="432" t="s">
        <v>451</v>
      </c>
      <c r="I15" s="820"/>
      <c r="J15" s="820"/>
    </row>
    <row r="16" spans="1:10" ht="15">
      <c r="A16" s="820"/>
      <c r="B16" s="820"/>
      <c r="C16" s="839">
        <v>45349</v>
      </c>
      <c r="D16" s="840" t="s">
        <v>573</v>
      </c>
      <c r="E16" s="841" t="s">
        <v>483</v>
      </c>
      <c r="F16" s="841" t="s">
        <v>576</v>
      </c>
      <c r="G16" s="842"/>
      <c r="H16" s="432" t="s">
        <v>451</v>
      </c>
      <c r="I16" s="820"/>
      <c r="J16" s="820"/>
    </row>
    <row r="17" spans="1:10" ht="15">
      <c r="A17" s="820"/>
      <c r="B17" s="820"/>
      <c r="C17" s="839">
        <v>45334</v>
      </c>
      <c r="D17" s="840" t="s">
        <v>611</v>
      </c>
      <c r="E17" s="841" t="s">
        <v>532</v>
      </c>
      <c r="F17" s="841" t="s">
        <v>576</v>
      </c>
      <c r="G17" s="842"/>
      <c r="H17" s="432" t="s">
        <v>451</v>
      </c>
      <c r="I17" s="820"/>
      <c r="J17" s="820"/>
    </row>
    <row r="18" spans="1:10" ht="15">
      <c r="A18" s="820"/>
      <c r="B18" s="820"/>
      <c r="C18" s="839">
        <v>45233</v>
      </c>
      <c r="D18" s="840" t="s">
        <v>573</v>
      </c>
      <c r="E18" s="841" t="s">
        <v>482</v>
      </c>
      <c r="F18" s="841" t="s">
        <v>603</v>
      </c>
      <c r="G18" s="842"/>
      <c r="H18" s="432" t="s">
        <v>451</v>
      </c>
      <c r="I18" s="820"/>
      <c r="J18" s="820"/>
    </row>
    <row r="19" spans="1:10" ht="15">
      <c r="A19" s="820"/>
      <c r="B19" s="820"/>
      <c r="C19" s="839">
        <v>45145</v>
      </c>
      <c r="D19" s="840" t="s">
        <v>569</v>
      </c>
      <c r="E19" s="841" t="s">
        <v>482</v>
      </c>
      <c r="F19" s="841" t="s">
        <v>588</v>
      </c>
      <c r="G19" s="842"/>
      <c r="H19" s="432" t="s">
        <v>451</v>
      </c>
      <c r="I19" s="820"/>
      <c r="J19" s="820"/>
    </row>
    <row r="20" spans="1:10" ht="15">
      <c r="A20" s="820"/>
      <c r="B20" s="820"/>
      <c r="C20" s="839">
        <v>45140</v>
      </c>
      <c r="D20" s="840" t="s">
        <v>589</v>
      </c>
      <c r="E20" s="841" t="s">
        <v>532</v>
      </c>
      <c r="F20" s="841" t="s">
        <v>588</v>
      </c>
      <c r="G20" s="842"/>
      <c r="H20" s="432" t="s">
        <v>451</v>
      </c>
      <c r="I20" s="820"/>
      <c r="J20" s="820"/>
    </row>
    <row r="21" spans="1:10" ht="15">
      <c r="A21" s="820"/>
      <c r="B21" s="820"/>
      <c r="C21" s="839">
        <v>45075</v>
      </c>
      <c r="D21" s="840" t="s">
        <v>587</v>
      </c>
      <c r="E21" s="841" t="s">
        <v>482</v>
      </c>
      <c r="F21" s="841" t="s">
        <v>582</v>
      </c>
      <c r="G21" s="842"/>
      <c r="H21" s="432" t="s">
        <v>451</v>
      </c>
      <c r="I21" s="820"/>
      <c r="J21" s="820"/>
    </row>
    <row r="22" spans="1:10" ht="15">
      <c r="A22" s="820"/>
      <c r="B22" s="820"/>
      <c r="C22" s="839">
        <v>45048</v>
      </c>
      <c r="D22" s="840" t="s">
        <v>573</v>
      </c>
      <c r="E22" s="841" t="s">
        <v>532</v>
      </c>
      <c r="F22" s="841" t="s">
        <v>582</v>
      </c>
      <c r="G22" s="842"/>
      <c r="H22" s="432" t="s">
        <v>451</v>
      </c>
      <c r="I22" s="820"/>
      <c r="J22" s="820"/>
    </row>
    <row r="23" spans="1:10" ht="15">
      <c r="A23" s="820"/>
      <c r="B23" s="820"/>
      <c r="C23" s="839">
        <v>44988</v>
      </c>
      <c r="D23" s="840" t="s">
        <v>574</v>
      </c>
      <c r="E23" s="841" t="s">
        <v>483</v>
      </c>
      <c r="F23" s="841" t="s">
        <v>534</v>
      </c>
      <c r="G23" s="842"/>
      <c r="H23" s="432" t="s">
        <v>451</v>
      </c>
      <c r="I23" s="820"/>
      <c r="J23" s="820"/>
    </row>
    <row r="24" spans="1:10" ht="15">
      <c r="A24" s="820"/>
      <c r="B24" s="820"/>
      <c r="C24" s="839">
        <v>44958</v>
      </c>
      <c r="D24" s="840" t="s">
        <v>574</v>
      </c>
      <c r="E24" s="841" t="s">
        <v>532</v>
      </c>
      <c r="F24" s="841" t="s">
        <v>534</v>
      </c>
      <c r="G24" s="842"/>
      <c r="H24" s="432" t="s">
        <v>451</v>
      </c>
      <c r="I24" s="820"/>
      <c r="J24" s="820"/>
    </row>
    <row r="25" spans="1:10" ht="15">
      <c r="A25" s="820"/>
      <c r="B25" s="820"/>
      <c r="C25" s="839">
        <v>44880</v>
      </c>
      <c r="D25" s="840" t="s">
        <v>573</v>
      </c>
      <c r="E25" s="841" t="s">
        <v>482</v>
      </c>
      <c r="F25" s="841" t="s">
        <v>571</v>
      </c>
      <c r="G25" s="842"/>
      <c r="H25" s="432" t="s">
        <v>451</v>
      </c>
      <c r="I25" s="820"/>
      <c r="J25" s="820"/>
    </row>
    <row r="26" spans="1:10" ht="15">
      <c r="A26" s="820"/>
      <c r="B26" s="820"/>
      <c r="C26" s="839">
        <v>44867</v>
      </c>
      <c r="D26" s="840" t="s">
        <v>521</v>
      </c>
      <c r="E26" s="841" t="s">
        <v>532</v>
      </c>
      <c r="F26" s="841" t="s">
        <v>571</v>
      </c>
      <c r="G26" s="842"/>
      <c r="H26" s="432" t="s">
        <v>451</v>
      </c>
      <c r="I26" s="820"/>
      <c r="J26" s="820"/>
    </row>
    <row r="27" spans="1:10" ht="15">
      <c r="A27" s="820"/>
      <c r="B27" s="820"/>
      <c r="C27" s="839">
        <v>44799</v>
      </c>
      <c r="D27" s="840" t="s">
        <v>569</v>
      </c>
      <c r="E27" s="841" t="s">
        <v>482</v>
      </c>
      <c r="F27" s="841" t="s">
        <v>567</v>
      </c>
      <c r="G27" s="842"/>
      <c r="H27" s="432" t="s">
        <v>451</v>
      </c>
      <c r="I27" s="820"/>
      <c r="J27" s="820"/>
    </row>
    <row r="28" spans="1:10" ht="15">
      <c r="A28" s="820"/>
      <c r="B28" s="820"/>
      <c r="C28" s="839">
        <v>44776</v>
      </c>
      <c r="D28" s="840" t="s">
        <v>568</v>
      </c>
      <c r="E28" s="841" t="s">
        <v>532</v>
      </c>
      <c r="F28" s="841" t="s">
        <v>567</v>
      </c>
      <c r="G28" s="842"/>
      <c r="H28" s="432" t="s">
        <v>451</v>
      </c>
      <c r="I28" s="820"/>
      <c r="J28" s="820"/>
    </row>
    <row r="29" spans="1:10" ht="15">
      <c r="A29" s="820"/>
      <c r="B29" s="820"/>
      <c r="C29" s="839">
        <v>44690</v>
      </c>
      <c r="D29" s="840" t="s">
        <v>537</v>
      </c>
      <c r="E29" s="841" t="s">
        <v>482</v>
      </c>
      <c r="F29" s="841" t="s">
        <v>536</v>
      </c>
      <c r="G29" s="842"/>
      <c r="H29" s="843" t="s">
        <v>451</v>
      </c>
      <c r="I29" s="820"/>
      <c r="J29" s="820"/>
    </row>
    <row r="30" spans="1:10" ht="15">
      <c r="A30" s="820"/>
      <c r="B30" s="820"/>
      <c r="C30" s="839">
        <v>44623</v>
      </c>
      <c r="D30" s="840" t="s">
        <v>472</v>
      </c>
      <c r="E30" s="841" t="s">
        <v>483</v>
      </c>
      <c r="F30" s="841" t="s">
        <v>516</v>
      </c>
      <c r="G30" s="842"/>
      <c r="H30" s="438" t="s">
        <v>451</v>
      </c>
      <c r="I30" s="820"/>
      <c r="J30" s="820"/>
    </row>
    <row r="31" spans="1:10" ht="15">
      <c r="A31" s="820"/>
      <c r="B31" s="820"/>
      <c r="C31" s="839">
        <v>44601</v>
      </c>
      <c r="D31" s="840" t="s">
        <v>472</v>
      </c>
      <c r="E31" s="841" t="s">
        <v>532</v>
      </c>
      <c r="F31" s="841" t="s">
        <v>516</v>
      </c>
      <c r="G31" s="842"/>
      <c r="H31" s="432" t="s">
        <v>451</v>
      </c>
      <c r="I31" s="820"/>
      <c r="J31" s="820"/>
    </row>
    <row r="32" spans="1:10" ht="15">
      <c r="A32" s="820"/>
      <c r="B32" s="820"/>
      <c r="C32" s="839">
        <v>44509</v>
      </c>
      <c r="D32" s="840" t="s">
        <v>489</v>
      </c>
      <c r="E32" s="841" t="s">
        <v>482</v>
      </c>
      <c r="F32" s="841" t="s">
        <v>533</v>
      </c>
      <c r="G32" s="842"/>
      <c r="H32" s="432" t="s">
        <v>451</v>
      </c>
      <c r="I32" s="820"/>
      <c r="J32" s="820"/>
    </row>
    <row r="33" spans="1:10" ht="15">
      <c r="A33" s="820"/>
      <c r="B33" s="820"/>
      <c r="C33" s="839">
        <v>44502</v>
      </c>
      <c r="D33" s="840" t="s">
        <v>489</v>
      </c>
      <c r="E33" s="841" t="s">
        <v>532</v>
      </c>
      <c r="F33" s="841" t="s">
        <v>533</v>
      </c>
      <c r="G33" s="842"/>
      <c r="H33" s="432" t="s">
        <v>451</v>
      </c>
      <c r="I33" s="820"/>
      <c r="J33" s="820"/>
    </row>
    <row r="34" spans="1:10" ht="15">
      <c r="A34" s="820"/>
      <c r="B34" s="820"/>
      <c r="C34" s="839">
        <v>44427</v>
      </c>
      <c r="D34" s="840" t="s">
        <v>521</v>
      </c>
      <c r="E34" s="841" t="s">
        <v>482</v>
      </c>
      <c r="F34" s="841" t="s">
        <v>531</v>
      </c>
      <c r="G34" s="842"/>
      <c r="H34" s="432" t="s">
        <v>451</v>
      </c>
      <c r="I34" s="820"/>
      <c r="J34" s="820"/>
    </row>
    <row r="35" spans="1:10" ht="15">
      <c r="A35" s="820"/>
      <c r="B35" s="820"/>
      <c r="C35" s="839">
        <v>44411</v>
      </c>
      <c r="D35" s="840" t="s">
        <v>521</v>
      </c>
      <c r="E35" s="841" t="s">
        <v>532</v>
      </c>
      <c r="F35" s="841" t="s">
        <v>531</v>
      </c>
      <c r="G35" s="842"/>
      <c r="H35" s="432" t="s">
        <v>451</v>
      </c>
      <c r="I35" s="820"/>
      <c r="J35" s="820"/>
    </row>
    <row r="36" spans="1:10" ht="15">
      <c r="A36" s="820"/>
      <c r="B36" s="820"/>
      <c r="C36" s="839">
        <v>44323</v>
      </c>
      <c r="D36" s="840" t="s">
        <v>521</v>
      </c>
      <c r="E36" s="841" t="s">
        <v>482</v>
      </c>
      <c r="F36" s="841" t="s">
        <v>520</v>
      </c>
      <c r="G36" s="842"/>
      <c r="H36" s="432" t="s">
        <v>451</v>
      </c>
      <c r="I36" s="820"/>
      <c r="J36" s="820"/>
    </row>
    <row r="37" spans="1:10" ht="15">
      <c r="A37" s="820"/>
      <c r="B37" s="820"/>
      <c r="C37" s="839">
        <v>44256</v>
      </c>
      <c r="D37" s="840" t="s">
        <v>489</v>
      </c>
      <c r="E37" s="841" t="s">
        <v>483</v>
      </c>
      <c r="F37" s="841" t="s">
        <v>486</v>
      </c>
      <c r="G37" s="842"/>
      <c r="H37" s="843" t="s">
        <v>451</v>
      </c>
      <c r="I37" s="820"/>
      <c r="J37" s="820"/>
    </row>
    <row r="38" spans="1:10" ht="15">
      <c r="A38" s="820"/>
      <c r="B38" s="820"/>
      <c r="C38" s="839">
        <v>44144</v>
      </c>
      <c r="D38" s="840" t="s">
        <v>472</v>
      </c>
      <c r="E38" s="841" t="s">
        <v>482</v>
      </c>
      <c r="F38" s="841" t="s">
        <v>511</v>
      </c>
      <c r="G38" s="842"/>
      <c r="H38" s="438" t="s">
        <v>451</v>
      </c>
      <c r="I38" s="820"/>
      <c r="J38" s="820"/>
    </row>
    <row r="39" spans="1:10" ht="15">
      <c r="A39" s="820"/>
      <c r="B39" s="820"/>
      <c r="C39" s="839">
        <v>44056</v>
      </c>
      <c r="D39" s="840" t="s">
        <v>485</v>
      </c>
      <c r="E39" s="841" t="s">
        <v>482</v>
      </c>
      <c r="F39" s="841" t="s">
        <v>509</v>
      </c>
      <c r="G39" s="842"/>
      <c r="H39" s="844" t="s">
        <v>451</v>
      </c>
      <c r="I39" s="820"/>
      <c r="J39" s="820"/>
    </row>
    <row r="40" spans="1:10" ht="15">
      <c r="A40" s="820"/>
      <c r="B40" s="820"/>
      <c r="C40" s="839">
        <v>43963</v>
      </c>
      <c r="D40" s="840" t="s">
        <v>489</v>
      </c>
      <c r="E40" s="841" t="s">
        <v>482</v>
      </c>
      <c r="F40" s="841" t="s">
        <v>488</v>
      </c>
      <c r="G40" s="842"/>
      <c r="H40" s="432" t="s">
        <v>451</v>
      </c>
      <c r="I40" s="820"/>
      <c r="J40" s="820"/>
    </row>
    <row r="41" spans="1:10" ht="15">
      <c r="A41" s="820"/>
      <c r="B41" s="820"/>
      <c r="C41" s="839">
        <v>43887</v>
      </c>
      <c r="D41" s="840" t="s">
        <v>485</v>
      </c>
      <c r="E41" s="841" t="s">
        <v>483</v>
      </c>
      <c r="F41" s="841" t="s">
        <v>463</v>
      </c>
      <c r="G41" s="842"/>
      <c r="H41" s="844" t="s">
        <v>451</v>
      </c>
      <c r="I41" s="820"/>
      <c r="J41" s="820"/>
    </row>
    <row r="42" spans="1:10" ht="15">
      <c r="A42" s="820"/>
      <c r="B42" s="820"/>
      <c r="C42" s="839">
        <v>43774</v>
      </c>
      <c r="D42" s="840" t="s">
        <v>472</v>
      </c>
      <c r="E42" s="841" t="s">
        <v>482</v>
      </c>
      <c r="F42" s="841" t="s">
        <v>475</v>
      </c>
      <c r="G42" s="842"/>
      <c r="H42" s="845" t="s">
        <v>451</v>
      </c>
      <c r="I42" s="820"/>
      <c r="J42" s="820"/>
    </row>
    <row r="43" spans="1:10" ht="15">
      <c r="A43" s="820"/>
      <c r="B43" s="820"/>
      <c r="C43" s="839">
        <v>43689</v>
      </c>
      <c r="D43" s="840" t="s">
        <v>472</v>
      </c>
      <c r="E43" s="841" t="s">
        <v>482</v>
      </c>
      <c r="F43" s="841" t="s">
        <v>473</v>
      </c>
      <c r="G43" s="842"/>
      <c r="H43" s="845" t="s">
        <v>451</v>
      </c>
      <c r="I43" s="820"/>
      <c r="J43" s="820"/>
    </row>
    <row r="44" spans="1:10" ht="15">
      <c r="A44" s="820"/>
      <c r="B44" s="820"/>
      <c r="C44" s="846">
        <v>43598</v>
      </c>
      <c r="D44" s="847" t="s">
        <v>467</v>
      </c>
      <c r="E44" s="848" t="s">
        <v>482</v>
      </c>
      <c r="F44" s="848" t="s">
        <v>468</v>
      </c>
      <c r="G44" s="849"/>
      <c r="H44" s="850" t="s">
        <v>451</v>
      </c>
      <c r="I44" s="820"/>
      <c r="J44" s="820"/>
    </row>
    <row r="45" spans="1:10" ht="15">
      <c r="A45" s="820"/>
      <c r="B45" s="820"/>
      <c r="C45" s="846">
        <v>43532</v>
      </c>
      <c r="D45" s="847" t="s">
        <v>464</v>
      </c>
      <c r="E45" s="848" t="s">
        <v>483</v>
      </c>
      <c r="F45" s="848" t="s">
        <v>426</v>
      </c>
      <c r="G45" s="849"/>
      <c r="H45" s="850" t="s">
        <v>451</v>
      </c>
      <c r="I45" s="820"/>
      <c r="J45" s="820"/>
    </row>
    <row r="46" spans="1:10" ht="15">
      <c r="A46" s="820"/>
      <c r="B46" s="820"/>
      <c r="C46" s="846">
        <v>43412</v>
      </c>
      <c r="D46" s="847" t="s">
        <v>449</v>
      </c>
      <c r="E46" s="848" t="s">
        <v>482</v>
      </c>
      <c r="F46" s="848" t="s">
        <v>450</v>
      </c>
      <c r="G46" s="849"/>
      <c r="H46" s="851" t="s">
        <v>451</v>
      </c>
      <c r="I46" s="820"/>
      <c r="J46" s="820"/>
    </row>
    <row r="47" spans="1:10" ht="15">
      <c r="A47" s="820"/>
      <c r="B47" s="820"/>
      <c r="C47" s="852">
        <v>43318</v>
      </c>
      <c r="D47" s="853" t="s">
        <v>452</v>
      </c>
      <c r="E47" s="854" t="s">
        <v>482</v>
      </c>
      <c r="F47" s="854" t="s">
        <v>453</v>
      </c>
      <c r="G47" s="855"/>
      <c r="H47" s="856" t="s">
        <v>451</v>
      </c>
      <c r="I47" s="820"/>
      <c r="J47" s="820"/>
    </row>
    <row r="48" spans="1:10" ht="15">
      <c r="A48" s="820"/>
      <c r="B48" s="820"/>
      <c r="C48" s="839">
        <v>43227</v>
      </c>
      <c r="D48" s="840" t="s">
        <v>454</v>
      </c>
      <c r="E48" s="841" t="s">
        <v>482</v>
      </c>
      <c r="F48" s="841" t="s">
        <v>455</v>
      </c>
      <c r="G48" s="842"/>
      <c r="H48" s="857" t="s">
        <v>451</v>
      </c>
      <c r="I48" s="820"/>
      <c r="J48" s="820"/>
    </row>
    <row r="49" spans="1:10" ht="15">
      <c r="A49" s="820"/>
      <c r="B49" s="820"/>
      <c r="C49" s="839">
        <v>43157</v>
      </c>
      <c r="D49" s="840" t="s">
        <v>456</v>
      </c>
      <c r="E49" s="841" t="s">
        <v>483</v>
      </c>
      <c r="F49" s="841" t="s">
        <v>429</v>
      </c>
      <c r="G49" s="842"/>
      <c r="H49" s="857" t="s">
        <v>451</v>
      </c>
      <c r="I49" s="820"/>
      <c r="J49" s="820"/>
    </row>
    <row r="50" spans="1:10" ht="15">
      <c r="A50" s="820"/>
      <c r="B50" s="820"/>
      <c r="C50" s="839">
        <v>43045</v>
      </c>
      <c r="D50" s="840" t="s">
        <v>457</v>
      </c>
      <c r="E50" s="841" t="s">
        <v>482</v>
      </c>
      <c r="F50" s="841" t="s">
        <v>458</v>
      </c>
      <c r="G50" s="842"/>
      <c r="H50" s="857" t="s">
        <v>451</v>
      </c>
      <c r="I50" s="820"/>
      <c r="J50" s="820"/>
    </row>
    <row r="51" spans="1:10" ht="15">
      <c r="A51" s="820"/>
      <c r="B51" s="820"/>
      <c r="C51" s="839">
        <v>42951</v>
      </c>
      <c r="D51" s="840" t="s">
        <v>459</v>
      </c>
      <c r="E51" s="841" t="s">
        <v>482</v>
      </c>
      <c r="F51" s="841" t="s">
        <v>460</v>
      </c>
      <c r="G51" s="842"/>
      <c r="H51" s="857" t="s">
        <v>451</v>
      </c>
      <c r="I51" s="820"/>
      <c r="J51" s="820"/>
    </row>
    <row r="52" spans="1:10" ht="15">
      <c r="A52" s="820"/>
      <c r="B52" s="820"/>
      <c r="C52" s="839">
        <v>42936</v>
      </c>
      <c r="D52" s="840" t="s">
        <v>461</v>
      </c>
      <c r="E52" s="841" t="s">
        <v>462</v>
      </c>
      <c r="F52" s="841" t="s">
        <v>484</v>
      </c>
      <c r="G52" s="842"/>
      <c r="H52" s="857"/>
      <c r="I52" s="820"/>
      <c r="J52" s="820"/>
    </row>
    <row r="53" spans="1:10" ht="15">
      <c r="A53" s="820"/>
      <c r="B53" s="820"/>
      <c r="C53" s="820"/>
      <c r="D53" s="820"/>
      <c r="E53" s="820"/>
      <c r="F53" s="820"/>
      <c r="G53" s="820"/>
      <c r="H53" s="820"/>
      <c r="I53" s="820"/>
      <c r="J53" s="820"/>
    </row>
    <row r="54" spans="1:10" ht="15">
      <c r="A54" s="820"/>
      <c r="B54" s="820"/>
      <c r="C54" s="820"/>
      <c r="D54" s="820"/>
      <c r="E54" s="820"/>
      <c r="F54" s="820"/>
      <c r="G54" s="820"/>
      <c r="H54" s="820"/>
      <c r="I54" s="820"/>
      <c r="J54" s="820"/>
    </row>
    <row r="55" spans="1:10" ht="15">
      <c r="A55" s="820"/>
      <c r="B55" s="820"/>
      <c r="C55" s="820"/>
      <c r="D55" s="820"/>
      <c r="E55" s="820"/>
      <c r="F55" s="820"/>
      <c r="G55" s="820"/>
      <c r="H55" s="820"/>
      <c r="I55" s="820"/>
      <c r="J55" s="820"/>
    </row>
    <row r="56" spans="1:10" ht="15">
      <c r="A56" s="820"/>
      <c r="B56" s="820"/>
      <c r="C56" s="820"/>
      <c r="D56" s="820"/>
      <c r="E56" s="820"/>
      <c r="F56" s="820"/>
      <c r="G56" s="820"/>
      <c r="H56" s="820"/>
      <c r="I56" s="820"/>
      <c r="J56" s="820"/>
    </row>
    <row r="57" spans="1:10" ht="15">
      <c r="A57" s="820"/>
      <c r="B57" s="820"/>
      <c r="C57" s="820"/>
      <c r="D57" s="820"/>
      <c r="E57" s="820"/>
      <c r="F57" s="820"/>
      <c r="G57" s="820"/>
      <c r="H57" s="820"/>
      <c r="I57" s="820"/>
      <c r="J57" s="820"/>
    </row>
    <row r="58" spans="1:10" ht="15">
      <c r="A58" s="820"/>
      <c r="B58" s="820"/>
      <c r="C58" s="820"/>
      <c r="D58" s="820"/>
      <c r="E58" s="820"/>
      <c r="F58" s="820"/>
      <c r="G58" s="820"/>
      <c r="H58" s="820"/>
      <c r="I58" s="820"/>
      <c r="J58" s="820"/>
    </row>
    <row r="59" spans="1:10" ht="15">
      <c r="A59" s="820"/>
      <c r="B59" s="820"/>
      <c r="C59" s="820"/>
      <c r="D59" s="820"/>
      <c r="E59" s="820"/>
      <c r="F59" s="820"/>
      <c r="G59" s="820"/>
      <c r="H59" s="820"/>
      <c r="I59" s="820"/>
      <c r="J59" s="820"/>
    </row>
    <row r="60" spans="1:10" ht="15">
      <c r="A60" s="820"/>
      <c r="B60" s="820"/>
      <c r="C60" s="820"/>
      <c r="D60" s="820"/>
      <c r="E60" s="820"/>
      <c r="F60" s="820"/>
      <c r="G60" s="820"/>
      <c r="H60" s="820"/>
      <c r="I60" s="820"/>
      <c r="J60" s="820"/>
    </row>
    <row r="61" spans="1:10" ht="15">
      <c r="A61" s="820"/>
      <c r="B61" s="820"/>
      <c r="C61" s="820"/>
      <c r="D61" s="820"/>
      <c r="E61" s="820"/>
      <c r="F61" s="820"/>
      <c r="G61" s="820"/>
      <c r="H61" s="820"/>
      <c r="I61" s="820"/>
      <c r="J61" s="820"/>
    </row>
    <row r="62" spans="1:10" ht="15">
      <c r="A62" s="820"/>
      <c r="B62" s="820"/>
      <c r="C62" s="820"/>
      <c r="D62" s="820"/>
      <c r="E62" s="820"/>
      <c r="F62" s="820"/>
      <c r="G62" s="820"/>
      <c r="H62" s="820"/>
      <c r="I62" s="820"/>
      <c r="J62" s="820"/>
    </row>
    <row r="63" spans="1:10" ht="15">
      <c r="A63" s="820"/>
      <c r="B63" s="820"/>
      <c r="C63" s="820"/>
      <c r="D63" s="820"/>
      <c r="E63" s="820"/>
      <c r="F63" s="820"/>
      <c r="G63" s="820"/>
      <c r="H63" s="820"/>
      <c r="I63" s="820"/>
      <c r="J63" s="820"/>
    </row>
    <row r="64" spans="1:10" ht="15">
      <c r="A64" s="820"/>
      <c r="B64" s="820"/>
      <c r="C64" s="820"/>
      <c r="D64" s="820"/>
      <c r="E64" s="820"/>
      <c r="F64" s="820"/>
      <c r="G64" s="820"/>
      <c r="H64" s="820"/>
      <c r="I64" s="820"/>
      <c r="J64" s="820"/>
    </row>
    <row r="65" spans="1:10" ht="15">
      <c r="A65" s="820"/>
      <c r="B65" s="820"/>
      <c r="C65" s="820"/>
      <c r="D65" s="820"/>
      <c r="E65" s="820"/>
      <c r="F65" s="820"/>
      <c r="G65" s="820"/>
      <c r="H65" s="820"/>
      <c r="I65" s="820"/>
      <c r="J65" s="820"/>
    </row>
    <row r="66" spans="1:10" ht="15">
      <c r="A66" s="820"/>
      <c r="B66" s="820"/>
      <c r="C66" s="820"/>
      <c r="D66" s="820"/>
      <c r="E66" s="820"/>
      <c r="F66" s="820"/>
      <c r="G66" s="820"/>
      <c r="H66" s="820"/>
      <c r="I66" s="820"/>
      <c r="J66" s="820"/>
    </row>
    <row r="67" spans="1:10" ht="15">
      <c r="A67" s="820"/>
      <c r="B67" s="820"/>
      <c r="C67" s="820"/>
      <c r="D67" s="820"/>
      <c r="E67" s="820"/>
      <c r="F67" s="820"/>
      <c r="G67" s="820"/>
      <c r="H67" s="820"/>
      <c r="I67" s="820"/>
      <c r="J67" s="820"/>
    </row>
    <row r="68" spans="1:10" ht="15">
      <c r="A68" s="820"/>
      <c r="B68" s="820"/>
      <c r="C68" s="820"/>
      <c r="D68" s="820"/>
      <c r="E68" s="820"/>
      <c r="F68" s="820"/>
      <c r="G68" s="820"/>
      <c r="H68" s="820"/>
      <c r="I68" s="820"/>
      <c r="J68" s="820"/>
    </row>
    <row r="69" spans="1:10" ht="15">
      <c r="A69" s="820"/>
      <c r="B69" s="820"/>
      <c r="C69" s="820"/>
      <c r="D69" s="820"/>
      <c r="E69" s="820"/>
      <c r="F69" s="820"/>
      <c r="G69" s="820"/>
      <c r="H69" s="820"/>
      <c r="I69" s="820"/>
      <c r="J69" s="820"/>
    </row>
    <row r="70" spans="1:10" ht="15">
      <c r="A70" s="820"/>
      <c r="B70" s="820"/>
      <c r="C70" s="820"/>
      <c r="D70" s="820"/>
      <c r="E70" s="820"/>
      <c r="F70" s="820"/>
      <c r="G70" s="820"/>
      <c r="H70" s="820"/>
      <c r="I70" s="820"/>
      <c r="J70" s="820"/>
    </row>
    <row r="71" spans="1:10" ht="15">
      <c r="A71" s="820"/>
      <c r="B71" s="820"/>
      <c r="C71" s="820"/>
      <c r="D71" s="820"/>
      <c r="E71" s="820"/>
      <c r="F71" s="820"/>
      <c r="G71" s="820"/>
      <c r="H71" s="820"/>
      <c r="I71" s="820"/>
      <c r="J71" s="820"/>
    </row>
    <row r="72" spans="1:10" ht="15">
      <c r="A72" s="820"/>
      <c r="B72" s="820"/>
      <c r="C72" s="820"/>
      <c r="D72" s="820"/>
      <c r="E72" s="820"/>
      <c r="F72" s="820"/>
      <c r="G72" s="820"/>
      <c r="H72" s="820"/>
      <c r="I72" s="820"/>
      <c r="J72" s="820"/>
    </row>
    <row r="73" spans="1:10" ht="15">
      <c r="A73" s="820"/>
      <c r="B73" s="820"/>
      <c r="C73" s="820"/>
      <c r="D73" s="820"/>
      <c r="E73" s="820"/>
      <c r="F73" s="820"/>
      <c r="G73" s="820"/>
      <c r="H73" s="820"/>
      <c r="I73" s="820"/>
      <c r="J73" s="820"/>
    </row>
    <row r="74" spans="1:10" ht="15">
      <c r="A74" s="820"/>
      <c r="B74" s="820"/>
      <c r="C74" s="820"/>
      <c r="D74" s="820"/>
      <c r="E74" s="820"/>
      <c r="F74" s="820"/>
      <c r="G74" s="820"/>
      <c r="H74" s="820"/>
      <c r="I74" s="820"/>
      <c r="J74" s="820"/>
    </row>
    <row r="75" spans="1:10" ht="15">
      <c r="A75" s="820"/>
      <c r="B75" s="820"/>
      <c r="C75" s="820"/>
      <c r="D75" s="820"/>
      <c r="E75" s="820"/>
      <c r="F75" s="820"/>
      <c r="G75" s="820"/>
      <c r="H75" s="820"/>
      <c r="I75" s="820"/>
      <c r="J75" s="820"/>
    </row>
  </sheetData>
  <hyperlinks>
    <hyperlink ref="H46" r:id="rId1" tooltip="Website Link" display="Earnings Press Release"/>
    <hyperlink ref="H47" r:id="rId2" tooltip="Website Link" display="Earnings Press Release"/>
    <hyperlink ref="H48" r:id="rId3" tooltip="Website Link" display="Earnings Press Release"/>
    <hyperlink ref="H49" r:id="rId4" tooltip="Website Link" display="Earnings Press Release"/>
    <hyperlink ref="H50" r:id="rId5" tooltip="Website Link" display="Earnings Press Release"/>
    <hyperlink ref="H51" r:id="rId6" tooltip="Website Link" display="Earnings Press Release"/>
    <hyperlink ref="H45" r:id="rId7" tooltip="Website Link" display="Earnings Press Release"/>
    <hyperlink ref="H44" r:id="rId8" tooltip="Website Link" display="Earnings Press Release"/>
    <hyperlink ref="H43" r:id="rId9" tooltip="Website Link" display="Earnings Press Release"/>
    <hyperlink ref="H42" r:id="rId10" tooltip="Website Link" display="Earnings Press Release"/>
    <hyperlink ref="H41" r:id="rId11" tooltip="Website Link" display="Earnings Press Release"/>
    <hyperlink ref="H40" r:id="rId12" tooltip="Website Link" display="Earnings Press Release"/>
    <hyperlink ref="H39" r:id="rId13" tooltip="Website Link" display="Earnings Press Release"/>
    <hyperlink ref="H38" r:id="rId14" tooltip="Website Link" display="Earnings Press Release"/>
    <hyperlink ref="H37" r:id="rId15" tooltip="Website Link" display="Earnings Press Release"/>
    <hyperlink ref="H36" r:id="rId16" tooltip="Website Link" display="Earnings Press Release"/>
    <hyperlink ref="H35" r:id="rId17" tooltip="Website Link" display="Earnings Press Release"/>
    <hyperlink ref="H34" r:id="rId18" tooltip="Website Link" display="Earnings Press Release"/>
    <hyperlink ref="H33" r:id="rId19" tooltip="Website Link" display="Earnings Press Release"/>
    <hyperlink ref="H32" r:id="rId20" tooltip="Website Link" display="Earnings Press Release"/>
    <hyperlink ref="H31" r:id="rId21" tooltip="Website Link" display="Earnings Press Release"/>
    <hyperlink ref="H30" r:id="rId22" tooltip="Website Link" display="Earnings Press Release"/>
    <hyperlink ref="H29" r:id="rId23" tooltip="Website Link" display="Earnings Press Release"/>
    <hyperlink ref="H28" r:id="rId24" tooltip="Website Link" display="Earnings Press Release"/>
    <hyperlink ref="H27" r:id="rId25" tooltip="Website Link" display="Earnings Press Release"/>
    <hyperlink ref="H26" r:id="rId26" tooltip="Website Link" display="Earnings Press Release"/>
    <hyperlink ref="H25" r:id="rId27" tooltip="Website Link" display="Earnings Press Release"/>
    <hyperlink ref="H24" r:id="rId28" tooltip="Website Link" display="Earnings Press Release"/>
    <hyperlink ref="H23" r:id="rId29" tooltip="Website Link" display="Earnings Press Release"/>
    <hyperlink ref="H22" r:id="rId30" tooltip="Website Link" display="Earnings Press Release"/>
    <hyperlink ref="H21" r:id="rId31" tooltip="Website Link" display="Earnings Press Release"/>
    <hyperlink ref="H20" r:id="rId32" tooltip="Website Link" display="Earnings Press Release"/>
    <hyperlink ref="H19" r:id="rId33" tooltip="Website Link" display="Earnings Press Release"/>
    <hyperlink ref="H18" r:id="rId34" tooltip="Website Link" display="Earnings Press Release"/>
    <hyperlink ref="H17" r:id="rId35" tooltip="Website Link" display="Earnings Press Release"/>
    <hyperlink ref="H16" r:id="rId36" tooltip="Website Link" display="Earnings Press Release"/>
    <hyperlink ref="H15" r:id="rId37" tooltip="Website Link" display="Earnings Press Release"/>
    <hyperlink ref="H14" r:id="rId38" tooltip="Website Link" display="Earnings Press Release"/>
    <hyperlink ref="H13" r:id="rId39" tooltip="Website Link" display="Earnings Press Release"/>
    <hyperlink ref="H12" r:id="rId40" tooltip="Website Link" display="Earnings Press Release"/>
    <hyperlink ref="H11" r:id="rId41" tooltip="Website Link" display="Earnings Press Release"/>
  </hyperlinks>
  <pageMargins left="0.7" right="0.7" top="0.75" bottom="0.75" header="0.3" footer="0.3"/>
  <pageSetup orientation="portrait" paperSize="1"/>
  <drawing r:id="rId4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 /></Relationships>
</file>

<file path=customXml/item1.xml>��< ? x m l   v e r s i o n = " 1 . 0 "   e n c o d i n g = " u t f - 1 6 " ? > < C u s t o m X M L O b j e c t   x m l n s : x s i = " h t t p : / / w w w . w 3 . o r g / 2 0 0 1 / X M L S c h e m a - i n s t a n c e "   x m l n s : x s d = " h t t p : / / w w w . w 3 . o r g / 2 0 0 1 / X M L S c h e m a " >  
     < N a m e > S t a t i c M e t a d a t a < / N a m e >  
     < V a l u e > { " o r i g i n " : " T e g u s " } < / V a l u e >  
 < / C u s t o m X M L O b j e c t > 
</file>

<file path=customXml/item2.xml>��< ? x m l   v e r s i o n = " 1 . 0 "   e n c o d i n g = " u t f - 1 6 " ? > < C u s t o m X M L O b j e c t   x m l n s : x s d = " h t t p : / / w w w . w 3 . o r g / 2 0 0 1 / X M L S c h e m a "   x m l n s : x s i = " h t t p : / / w w w . w 3 . o r g / 2 0 0 1 / X M L S c h e m a - i n s t a n c e " >  
     < N a m e > C o m m u n i c a t i o n I d < / N a m e >  
     < V a l u e > e 5 a 8 3 c 4 2 - a c c 9 - 4 3 9 6 - 8 e a 4 - 4 f a 5 e c a 9 5 b 4 c < / V a l u e >  
 < / C u s t o m X M L O b j e c t > 
</file>

<file path=customXml/itemProps1.xml><?xml version="1.0" encoding="utf-8"?>
<ds:datastoreItem xmlns:ds="http://schemas.openxmlformats.org/officeDocument/2006/customXml" ds:itemID="{2C39388A-82C9-4D32-AB95-7921DC97277A}">
  <ds:schemaRefs>
    <ds:schemaRef ds:uri="http://www.w3.org/2001/XMLSchema"/>
  </ds:schemaRefs>
</ds:datastoreItem>
</file>

<file path=customXml/itemProps2.xml><?xml version="1.0" encoding="utf-8"?>
<ds:datastoreItem xmlns:ds="http://schemas.openxmlformats.org/officeDocument/2006/customXml" ds:itemID="{63C00EF8-AFC3-4743-9CFC-D207A2405BBB}">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5</vt:i4>
      </vt:variant>
    </vt:vector>
  </HeadingPairs>
  <TitlesOfParts>
    <vt:vector size="5" baseType="lpstr">
      <vt:lpstr>Front Page</vt:lpstr>
      <vt:lpstr>Model</vt:lpstr>
      <vt:lpstr>Guidance</vt:lpstr>
      <vt:lpstr>Summary Page</vt:lpstr>
      <vt:lpstr>Update Log</vt:lpstr>
    </vt:vector>
  </TitlesOfParts>
  <Template/>
  <Manager/>
  <Company/>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Canalyst</dc:creator>
  <cp:keywords/>
  <dc:description/>
  <cp:lastModifiedBy>Tegus (RF)</cp:lastModifiedBy>
  <cp:lastPrinted>2016-04-29T05:43:54Z</cp:lastPrinted>
  <dcterms:created xsi:type="dcterms:W3CDTF">2016-04-22T21:21:10Z</dcterms:created>
  <dcterms:modified xsi:type="dcterms:W3CDTF">2024-12-05T00:27:30Z</dcterms:modified>
  <cp:category/>
</cp:coreProperties>
</file>